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011"/>
  <workbookPr/>
  <mc:AlternateContent xmlns:mc="http://schemas.openxmlformats.org/markup-compatibility/2006">
    <mc:Choice Requires="x15">
      <x15ac:absPath xmlns:x15ac="http://schemas.microsoft.com/office/spreadsheetml/2010/11/ac" url="/Users/CristianPinto/Dropbox/Casos Inversiones PIFD/Caso 2. Valoracion/"/>
    </mc:Choice>
  </mc:AlternateContent>
  <bookViews>
    <workbookView xWindow="0" yWindow="1600" windowWidth="25600" windowHeight="12020"/>
  </bookViews>
  <sheets>
    <sheet name="Intro" sheetId="7" r:id="rId1"/>
    <sheet name="TN1_Flujo de caja" sheetId="1" r:id="rId2"/>
    <sheet name="TN2_Balance" sheetId="3" r:id="rId3"/>
    <sheet name="TN3_Datos" sheetId="4" r:id="rId4"/>
    <sheet name="TN3_Comparables" sheetId="5" r:id="rId5"/>
    <sheet name="TN4_Resultados FCF" sheetId="2" r:id="rId6"/>
    <sheet name="TN5_Resultados Multiplos" sheetId="6" r:id="rId7"/>
  </sheets>
  <externalReferences>
    <externalReference r:id="rId8"/>
  </externalReferenc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2" l="1"/>
  <c r="C10" i="2"/>
  <c r="D10" i="2"/>
  <c r="E10" i="2"/>
  <c r="F10" i="2"/>
  <c r="B10" i="2"/>
  <c r="C9" i="2"/>
  <c r="D9" i="2"/>
  <c r="E9" i="2"/>
  <c r="F9" i="2"/>
  <c r="F12" i="2"/>
  <c r="B17" i="2"/>
  <c r="B18" i="2"/>
  <c r="B9" i="2"/>
  <c r="B9" i="6"/>
  <c r="B7" i="6"/>
  <c r="B5" i="6"/>
  <c r="E12" i="2"/>
  <c r="E16" i="2"/>
  <c r="D12" i="2"/>
  <c r="D16" i="2"/>
  <c r="B12" i="2"/>
  <c r="B16" i="2"/>
  <c r="C12" i="2"/>
  <c r="C16" i="2"/>
  <c r="D37" i="6"/>
  <c r="E37" i="6"/>
  <c r="C37" i="6"/>
  <c r="D35" i="6"/>
  <c r="D36" i="6"/>
  <c r="D38" i="6"/>
  <c r="D40" i="6"/>
  <c r="E35" i="6"/>
  <c r="E36" i="6"/>
  <c r="E38" i="6"/>
  <c r="E40" i="6"/>
  <c r="C35" i="6"/>
  <c r="C36" i="6"/>
  <c r="C38" i="6"/>
  <c r="C40" i="6"/>
  <c r="B35" i="6"/>
  <c r="B36" i="6"/>
  <c r="B40" i="6"/>
  <c r="B14" i="6"/>
  <c r="C14" i="6"/>
  <c r="B24" i="6"/>
  <c r="B3" i="6"/>
  <c r="C20" i="6"/>
  <c r="C18" i="6"/>
  <c r="C16" i="6"/>
  <c r="B20" i="6"/>
  <c r="B30" i="6"/>
  <c r="B18" i="6"/>
  <c r="B28" i="6"/>
  <c r="B16" i="6"/>
  <c r="B26" i="6"/>
  <c r="B20" i="2"/>
  <c r="B24" i="2"/>
  <c r="B28" i="2"/>
</calcChain>
</file>

<file path=xl/sharedStrings.xml><?xml version="1.0" encoding="utf-8"?>
<sst xmlns="http://schemas.openxmlformats.org/spreadsheetml/2006/main" count="350" uniqueCount="185">
  <si>
    <t>Earnings Quality Score</t>
  </si>
  <si>
    <t>N/A </t>
  </si>
  <si>
    <t>68 </t>
  </si>
  <si>
    <t>74 </t>
  </si>
  <si>
    <t>81 </t>
  </si>
  <si>
    <t>Period End Date</t>
  </si>
  <si>
    <t>31-Dec-2012 </t>
  </si>
  <si>
    <t>31-Dec-2013 </t>
  </si>
  <si>
    <t>31-Dec-2014 </t>
  </si>
  <si>
    <t>31-Dec-2015 </t>
  </si>
  <si>
    <t>31-Dec-2016 </t>
  </si>
  <si>
    <t>Cash Flow-Operating Activities (CLP Thousands)</t>
  </si>
  <si>
    <t>Cash Receipts</t>
  </si>
  <si>
    <t>Cash Payments</t>
  </si>
  <si>
    <t>Cash Taxes Paid</t>
  </si>
  <si>
    <t>Cash Interest Paid</t>
  </si>
  <si>
    <t>--</t>
  </si>
  <si>
    <t>Changes in Working Capital</t>
  </si>
  <si>
    <t>Other Operating Cash Flow</t>
  </si>
  <si>
    <t>Cash from Operating Activities</t>
  </si>
  <si>
    <t>Cash Flow-Investing Activities (CLP Thousands)</t>
  </si>
  <si>
    <t>Capital Expenditures</t>
  </si>
  <si>
    <t>Purchase of Fixed Assets</t>
  </si>
  <si>
    <t>Purchase/Acquisition of Intangibles</t>
  </si>
  <si>
    <t>Other Investing Cash Flow Items, Total</t>
  </si>
  <si>
    <t>Acquisition of Business</t>
  </si>
  <si>
    <t>Sale of Business</t>
  </si>
  <si>
    <t>Sale of Fixed Assets</t>
  </si>
  <si>
    <t>Purchase of Investments</t>
  </si>
  <si>
    <t>Other Investing Cash Flow</t>
  </si>
  <si>
    <t>Cash from Investing Activities</t>
  </si>
  <si>
    <t>Cash Flow-Financing Activities (CLP Thousands)</t>
  </si>
  <si>
    <t>Financing Cash Flow Items</t>
  </si>
  <si>
    <t>Other Financing Cash Flow</t>
  </si>
  <si>
    <t>Total Cash Dividends Paid</t>
  </si>
  <si>
    <t>Cash Dividends Paid - Common</t>
  </si>
  <si>
    <t>Issuance (Retirement) of Stock, Net</t>
  </si>
  <si>
    <t>Sale/Issuance of Common</t>
  </si>
  <si>
    <t>Common Stock, Net</t>
  </si>
  <si>
    <t>Issuance (Retirement) of Debt, Net</t>
  </si>
  <si>
    <t>Short Term Debt Issued</t>
  </si>
  <si>
    <t>Short Term Debt, Net</t>
  </si>
  <si>
    <t>Long Term Debt Issued</t>
  </si>
  <si>
    <t>Long Term Debt, Net</t>
  </si>
  <si>
    <t>Total Debt Reduction</t>
  </si>
  <si>
    <t>Cash from Financing Activities</t>
  </si>
  <si>
    <t>Foreign Exchange Effects</t>
  </si>
  <si>
    <t>Net Change in Cash</t>
  </si>
  <si>
    <t>Net Cash - Beginning Balance</t>
  </si>
  <si>
    <t>Net Cash - Ending Balance</t>
  </si>
  <si>
    <t>Reported Cash from Operating Activities</t>
  </si>
  <si>
    <t>Reported Cash from Investing Activities</t>
  </si>
  <si>
    <t>Reported Cash from Financing Activities</t>
  </si>
  <si>
    <t>Capex</t>
  </si>
  <si>
    <t>Perpetuidad</t>
  </si>
  <si>
    <t>Assets (CLP Thousands)</t>
  </si>
  <si>
    <t>Cash and Short Term Investments</t>
  </si>
  <si>
    <t>Cash &amp; Equivalents</t>
  </si>
  <si>
    <t>Short Term Investments</t>
  </si>
  <si>
    <t>Accounts Receivable - Trade, Net</t>
  </si>
  <si>
    <t>Total Receivables, Net</t>
  </si>
  <si>
    <t>Receivables - Other</t>
  </si>
  <si>
    <t>Total Inventory</t>
  </si>
  <si>
    <t>Prepaid Expenses</t>
  </si>
  <si>
    <t>Other Current Assets, Total</t>
  </si>
  <si>
    <t>Discountinued Operations - Current Asset</t>
  </si>
  <si>
    <t>Other Current Assets</t>
  </si>
  <si>
    <t>Total Current Assets</t>
  </si>
  <si>
    <t>Property/Plant/Equipment, Total - Gross</t>
  </si>
  <si>
    <t>Property/Plant/Equipment, Total - Net</t>
  </si>
  <si>
    <t>Goodwill, Net</t>
  </si>
  <si>
    <t>Intangibles, Net</t>
  </si>
  <si>
    <t>Long Term Investments</t>
  </si>
  <si>
    <t>LT Investment - Affiliate Companies</t>
  </si>
  <si>
    <t>LT Investments - Other</t>
  </si>
  <si>
    <t>Note Receivable - Long Term</t>
  </si>
  <si>
    <t>Other Long Term Assets, Total</t>
  </si>
  <si>
    <t>Defered Income Tax - Long Term Asset</t>
  </si>
  <si>
    <t>Other Long Term Assets</t>
  </si>
  <si>
    <t>Total Assets</t>
  </si>
  <si>
    <t>Liabilities (CLP Thousands)</t>
  </si>
  <si>
    <t>Accounts Payable</t>
  </si>
  <si>
    <t>Payable/Accrued</t>
  </si>
  <si>
    <t>Accrued Expenses</t>
  </si>
  <si>
    <t>Notes Payable/Short Term Debt</t>
  </si>
  <si>
    <t>Current Port. of LT Debt/Capital Leases</t>
  </si>
  <si>
    <t>Other Current liabilities, Total</t>
  </si>
  <si>
    <t>Income Taxes Payable</t>
  </si>
  <si>
    <t>Other Payables</t>
  </si>
  <si>
    <t>Other Current Liabilities</t>
  </si>
  <si>
    <t>Total Current Liabilities</t>
  </si>
  <si>
    <t>Total Long Term Debt</t>
  </si>
  <si>
    <t>Long Term Debt</t>
  </si>
  <si>
    <t>Total Debt</t>
  </si>
  <si>
    <t>Deferred Income Tax</t>
  </si>
  <si>
    <t>Deferred Income Tax - LT Liability</t>
  </si>
  <si>
    <t>Minority Interest</t>
  </si>
  <si>
    <t>Other Liabilities, Total</t>
  </si>
  <si>
    <t>Pension Benefits - Underfunded</t>
  </si>
  <si>
    <t>Other Long Term Liabilities</t>
  </si>
  <si>
    <t>Total Liabilities</t>
  </si>
  <si>
    <t>Shareholders Equity (CLP Thousands)</t>
  </si>
  <si>
    <t>Redeemable Preferred Stock, Total</t>
  </si>
  <si>
    <t>Preferred Stock - Non Redeemable, Net</t>
  </si>
  <si>
    <t>Common Stock, Total</t>
  </si>
  <si>
    <t>Common Stock</t>
  </si>
  <si>
    <t>Additional Paid-In Capital</t>
  </si>
  <si>
    <t>Retained Earnings (Accumulated Deficit)</t>
  </si>
  <si>
    <t>Treasury Stock - Common</t>
  </si>
  <si>
    <t>ESOP Debt Guarantee</t>
  </si>
  <si>
    <t>Unrealized Gain (Loss)</t>
  </si>
  <si>
    <t>Other Equity, Total</t>
  </si>
  <si>
    <t>Other Equity</t>
  </si>
  <si>
    <t>Total Equity</t>
  </si>
  <si>
    <t>Patrimonio</t>
  </si>
  <si>
    <t>Annual Standardised in Thousands of Chilean Pesos, Consolidated</t>
  </si>
  <si>
    <t>Annual Standardised in Thousands of Chilean Pesos</t>
  </si>
  <si>
    <t>Income Statement (CLP, M)</t>
  </si>
  <si>
    <t>     Close:</t>
  </si>
  <si>
    <t>LFI</t>
  </si>
  <si>
    <t>LTM</t>
  </si>
  <si>
    <t>LFY</t>
  </si>
  <si>
    <t>     52 Wk High:</t>
  </si>
  <si>
    <t>Total Revenue:</t>
  </si>
  <si>
    <t>     52 Wk Low:</t>
  </si>
  <si>
    <t>EBITDA:</t>
  </si>
  <si>
    <t>EBIT:</t>
  </si>
  <si>
    <t>Income Before Tax:</t>
  </si>
  <si>
    <t>Income After Tax:</t>
  </si>
  <si>
    <t>Revenue/Shr (dil.):</t>
  </si>
  <si>
    <t>Income Avail Comm:</t>
  </si>
  <si>
    <t>EPS Excl Extra (dil.):</t>
  </si>
  <si>
    <t>Dilut Shrs Out Avg:</t>
  </si>
  <si>
    <t>EPS Incl Extra (dil.):</t>
  </si>
  <si>
    <t>EPS Normalized (dil.):</t>
  </si>
  <si>
    <t>(=) Curr EV, LFY (m):</t>
  </si>
  <si>
    <t>Gasco</t>
  </si>
  <si>
    <t>Transportadora de Gas</t>
  </si>
  <si>
    <t>Per Share Gasco</t>
  </si>
  <si>
    <t>Per Share Transportadora de Gas</t>
  </si>
  <si>
    <t>Price Gasco</t>
  </si>
  <si>
    <t>Price Transportadora de Gas</t>
  </si>
  <si>
    <t>Price/Earnings</t>
  </si>
  <si>
    <t>EV/EBITDA</t>
  </si>
  <si>
    <t>EV/EBIT</t>
  </si>
  <si>
    <t>EV/REVENUE</t>
  </si>
  <si>
    <t>GASCO</t>
  </si>
  <si>
    <t>16.3</t>
  </si>
  <si>
    <t>Lipigas</t>
  </si>
  <si>
    <t>Deuda neta</t>
  </si>
  <si>
    <t>Valor patrimonio</t>
  </si>
  <si>
    <t>Acciones</t>
  </si>
  <si>
    <t>Rango</t>
  </si>
  <si>
    <t>Price Lipigas</t>
  </si>
  <si>
    <t>Per Share Lipigas</t>
  </si>
  <si>
    <t>Supuestos</t>
  </si>
  <si>
    <t>R wacc</t>
  </si>
  <si>
    <t>Descuento al 2016</t>
  </si>
  <si>
    <t>Año 2021 a cero</t>
  </si>
  <si>
    <t>Valor en 2016</t>
  </si>
  <si>
    <t>Deuda de mercado</t>
  </si>
  <si>
    <t>Respuestas</t>
  </si>
  <si>
    <t>Universidad del Desarrollo, 2017</t>
  </si>
  <si>
    <t xml:space="preserve">Este caso está basado exclusivamente en datos públicos y contiene algunos datos ficticios. </t>
  </si>
  <si>
    <t>El caso ha sido escrito para su uso en discusiones de clases y no para ilustrar eficiencia o ineficiencia en el manejo de situaciones gerenciales.</t>
  </si>
  <si>
    <t>Todos los derechos reservados por Cristian A. Pinto Gutiérrez. Ninguna parte de este producto puede ser reproducido,</t>
  </si>
  <si>
    <t>usado en una hoja de cálculo, o transmitido en cualquier forma o medio -- electrónico, mecánico, fotocopia, grabación de video, u otro -- sin el permiso del autor o la Universidad del Desarrollo.</t>
  </si>
  <si>
    <t>Cristian A. Pinto Gutiérrez</t>
  </si>
  <si>
    <t>Valuación de Lipigas</t>
  </si>
  <si>
    <t>Número de acciones</t>
  </si>
  <si>
    <t>Tasa de crecimiento largo plazo</t>
  </si>
  <si>
    <t xml:space="preserve">Transportadora </t>
  </si>
  <si>
    <t>de Gas</t>
  </si>
  <si>
    <t>Media</t>
  </si>
  <si>
    <t>Múltiplos Lipigas</t>
  </si>
  <si>
    <t>Valuación</t>
  </si>
  <si>
    <t>$1.896 - $9.467</t>
  </si>
  <si>
    <t>Dado que el precio de la acción de Lipigas está por arriba del rango estimado, se recomienda vender la acción.</t>
  </si>
  <si>
    <t>Se assume que luego del año 2021, existe un crecimiento constante del 2%.</t>
  </si>
  <si>
    <t>Precio acción</t>
  </si>
  <si>
    <t>Flujo de Caja Operacional</t>
  </si>
  <si>
    <t>Flujo de Caja Libre</t>
  </si>
  <si>
    <t>Comparables</t>
  </si>
  <si>
    <t>Promedio comparables</t>
  </si>
  <si>
    <t>Valor implícito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</si>
</sst>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&quot;$&quot;* #,##0_ ;_ &quot;$&quot;* \-#,##0_ ;_ &quot;$&quot;* &quot;-&quot;_ ;_ @_ "/>
    <numFmt numFmtId="165" formatCode="_ * #,##0_ ;_ * \-#,##0_ ;_ * &quot;-&quot;_ ;_ @_ "/>
    <numFmt numFmtId="166" formatCode="_ * #,##0.00_ ;_ * \-#,##0.00_ ;_ * &quot;-&quot;_ ;_ @_ "/>
    <numFmt numFmtId="167" formatCode="0.0000"/>
    <numFmt numFmtId="168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Palatino"/>
      <family val="1"/>
    </font>
    <font>
      <sz val="10"/>
      <name val="Palatino"/>
      <family val="1"/>
    </font>
    <font>
      <sz val="10"/>
      <color theme="1"/>
      <name val="Palatino"/>
    </font>
    <font>
      <sz val="11"/>
      <color theme="1"/>
      <name val="Palatino"/>
    </font>
    <font>
      <b/>
      <sz val="11"/>
      <color rgb="FF000000"/>
      <name val="Palatino"/>
    </font>
    <font>
      <b/>
      <sz val="11"/>
      <color rgb="FF888888"/>
      <name val="Palatino"/>
    </font>
    <font>
      <b/>
      <sz val="11"/>
      <color rgb="FF333333"/>
      <name val="Palatino"/>
    </font>
    <font>
      <sz val="11"/>
      <color rgb="FF000000"/>
      <name val="Palatino"/>
    </font>
    <font>
      <b/>
      <sz val="11"/>
      <color theme="1"/>
      <name val="Palatino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ABC4EA"/>
        <bgColor rgb="FF000000"/>
      </patternFill>
    </fill>
    <fill>
      <patternFill patternType="solid">
        <fgColor rgb="FFF5F6F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A2D09C"/>
        <bgColor rgb="FF000000"/>
      </patternFill>
    </fill>
    <fill>
      <patternFill patternType="solid">
        <fgColor rgb="FFC8D7DE"/>
        <bgColor rgb="FF000000"/>
      </patternFill>
    </fill>
    <fill>
      <patternFill patternType="solid">
        <fgColor rgb="FFE9EFF6"/>
        <bgColor rgb="FF000000"/>
      </patternFill>
    </fill>
    <fill>
      <patternFill patternType="solid">
        <fgColor rgb="FFF2F4F9"/>
        <bgColor rgb="FF000000"/>
      </patternFill>
    </fill>
    <fill>
      <patternFill patternType="solid">
        <fgColor rgb="FFABC4EA"/>
        <bgColor indexed="64"/>
      </patternFill>
    </fill>
    <fill>
      <patternFill patternType="solid">
        <fgColor rgb="FFF5F6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A2D09C"/>
        <bgColor indexed="64"/>
      </patternFill>
    </fill>
    <fill>
      <patternFill patternType="solid">
        <fgColor rgb="FFC8D7DE"/>
        <bgColor indexed="64"/>
      </patternFill>
    </fill>
    <fill>
      <patternFill patternType="solid">
        <fgColor rgb="FFE9EFF6"/>
        <bgColor indexed="64"/>
      </patternFill>
    </fill>
    <fill>
      <patternFill patternType="solid">
        <fgColor rgb="FFF2F4F9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DDDDDD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CCCCCC"/>
      </right>
      <top style="medium">
        <color rgb="FFC1C1C1"/>
      </top>
      <bottom style="medium">
        <color rgb="FFC1C1C1"/>
      </bottom>
      <diagonal/>
    </border>
    <border>
      <left/>
      <right/>
      <top style="medium">
        <color rgb="FFC1C1C1"/>
      </top>
      <bottom style="medium">
        <color rgb="FFC1C1C1"/>
      </bottom>
      <diagonal/>
    </border>
    <border>
      <left/>
      <right style="medium">
        <color rgb="FFCCCCCC"/>
      </right>
      <top style="medium">
        <color rgb="FFE5EBF4"/>
      </top>
      <bottom/>
      <diagonal/>
    </border>
    <border>
      <left/>
      <right/>
      <top style="medium">
        <color rgb="FFE5EBF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EEEEEE"/>
      </bottom>
      <diagonal/>
    </border>
    <border>
      <left/>
      <right/>
      <top style="medium">
        <color rgb="FFFFFFFF"/>
      </top>
      <bottom style="medium">
        <color rgb="FFEEEEEE"/>
      </bottom>
      <diagonal/>
    </border>
    <border>
      <left style="medium">
        <color rgb="FFFFFFFF"/>
      </left>
      <right/>
      <top style="medium">
        <color rgb="FFEEEEEE"/>
      </top>
      <bottom style="medium">
        <color rgb="FFEEEEEE"/>
      </bottom>
      <diagonal/>
    </border>
    <border>
      <left/>
      <right/>
      <top style="medium">
        <color rgb="FFEEEEEE"/>
      </top>
      <bottom style="medium">
        <color rgb="FFEEEEEE"/>
      </bottom>
      <diagonal/>
    </border>
    <border>
      <left style="medium">
        <color rgb="FFFFFFFF"/>
      </left>
      <right/>
      <top/>
      <bottom style="medium">
        <color rgb="FFEEEEEE"/>
      </bottom>
      <diagonal/>
    </border>
    <border>
      <left/>
      <right style="medium">
        <color rgb="FFFFFFFF"/>
      </right>
      <top/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1">
    <xf numFmtId="0" fontId="0" fillId="0" borderId="0" xfId="0"/>
    <xf numFmtId="38" fontId="2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/>
    <xf numFmtId="164" fontId="0" fillId="0" borderId="0" xfId="0" applyNumberFormat="1"/>
    <xf numFmtId="168" fontId="0" fillId="0" borderId="0" xfId="0" applyNumberFormat="1"/>
    <xf numFmtId="166" fontId="0" fillId="0" borderId="0" xfId="0" applyNumberFormat="1"/>
    <xf numFmtId="38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3" borderId="3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center" vertical="top"/>
    </xf>
    <xf numFmtId="0" fontId="9" fillId="5" borderId="4" xfId="0" applyFont="1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right"/>
    </xf>
    <xf numFmtId="0" fontId="10" fillId="3" borderId="5" xfId="0" applyFont="1" applyFill="1" applyBorder="1" applyAlignment="1">
      <alignment horizontal="right"/>
    </xf>
    <xf numFmtId="38" fontId="10" fillId="3" borderId="6" xfId="0" applyNumberFormat="1" applyFont="1" applyFill="1" applyBorder="1" applyAlignment="1">
      <alignment horizontal="right"/>
    </xf>
    <xf numFmtId="0" fontId="10" fillId="7" borderId="0" xfId="0" applyFont="1" applyFill="1" applyAlignment="1">
      <alignment horizontal="left"/>
    </xf>
    <xf numFmtId="0" fontId="10" fillId="0" borderId="5" xfId="0" applyFont="1" applyBorder="1" applyAlignment="1">
      <alignment horizontal="left"/>
    </xf>
    <xf numFmtId="38" fontId="10" fillId="0" borderId="6" xfId="0" applyNumberFormat="1" applyFont="1" applyBorder="1" applyAlignment="1">
      <alignment horizontal="right" wrapText="1"/>
    </xf>
    <xf numFmtId="0" fontId="10" fillId="8" borderId="5" xfId="0" applyFont="1" applyFill="1" applyBorder="1" applyAlignment="1">
      <alignment horizontal="left"/>
    </xf>
    <xf numFmtId="38" fontId="10" fillId="8" borderId="6" xfId="0" applyNumberFormat="1" applyFont="1" applyFill="1" applyBorder="1" applyAlignment="1">
      <alignment horizontal="right" wrapText="1"/>
    </xf>
    <xf numFmtId="0" fontId="10" fillId="9" borderId="5" xfId="0" applyFont="1" applyFill="1" applyBorder="1" applyAlignment="1">
      <alignment horizontal="left" indent="2"/>
    </xf>
    <xf numFmtId="38" fontId="10" fillId="3" borderId="6" xfId="0" applyNumberFormat="1" applyFont="1" applyFill="1" applyBorder="1" applyAlignment="1">
      <alignment horizontal="right" wrapText="1"/>
    </xf>
    <xf numFmtId="0" fontId="10" fillId="0" borderId="6" xfId="0" applyFont="1" applyBorder="1" applyAlignment="1">
      <alignment horizontal="left" wrapText="1"/>
    </xf>
    <xf numFmtId="38" fontId="10" fillId="0" borderId="6" xfId="0" applyNumberFormat="1" applyFont="1" applyBorder="1" applyAlignment="1">
      <alignment horizontal="left" wrapText="1"/>
    </xf>
    <xf numFmtId="0" fontId="11" fillId="11" borderId="3" xfId="0" applyFont="1" applyFill="1" applyBorder="1" applyAlignment="1">
      <alignment horizontal="left"/>
    </xf>
    <xf numFmtId="0" fontId="8" fillId="12" borderId="4" xfId="0" applyFont="1" applyFill="1" applyBorder="1" applyAlignment="1">
      <alignment horizontal="center" vertical="top"/>
    </xf>
    <xf numFmtId="0" fontId="9" fillId="13" borderId="4" xfId="0" applyFont="1" applyFill="1" applyBorder="1" applyAlignment="1">
      <alignment horizontal="center" vertical="top"/>
    </xf>
    <xf numFmtId="0" fontId="7" fillId="14" borderId="4" xfId="0" applyFont="1" applyFill="1" applyBorder="1" applyAlignment="1">
      <alignment horizontal="center" vertical="top"/>
    </xf>
    <xf numFmtId="0" fontId="11" fillId="10" borderId="1" xfId="0" applyFont="1" applyFill="1" applyBorder="1" applyAlignment="1">
      <alignment horizontal="left"/>
    </xf>
    <xf numFmtId="0" fontId="11" fillId="10" borderId="1" xfId="0" applyFont="1" applyFill="1" applyBorder="1" applyAlignment="1">
      <alignment horizontal="right"/>
    </xf>
    <xf numFmtId="0" fontId="6" fillId="11" borderId="5" xfId="0" applyFont="1" applyFill="1" applyBorder="1" applyAlignment="1">
      <alignment horizontal="right"/>
    </xf>
    <xf numFmtId="38" fontId="6" fillId="11" borderId="6" xfId="0" applyNumberFormat="1" applyFont="1" applyFill="1" applyBorder="1" applyAlignment="1">
      <alignment horizontal="right"/>
    </xf>
    <xf numFmtId="0" fontId="6" fillId="15" borderId="0" xfId="0" applyFont="1" applyFill="1" applyAlignment="1">
      <alignment horizontal="left"/>
    </xf>
    <xf numFmtId="0" fontId="6" fillId="16" borderId="5" xfId="0" applyFont="1" applyFill="1" applyBorder="1" applyAlignment="1">
      <alignment horizontal="left"/>
    </xf>
    <xf numFmtId="38" fontId="6" fillId="16" borderId="6" xfId="0" applyNumberFormat="1" applyFont="1" applyFill="1" applyBorder="1" applyAlignment="1">
      <alignment horizontal="right" wrapText="1"/>
    </xf>
    <xf numFmtId="0" fontId="6" fillId="17" borderId="5" xfId="0" applyFont="1" applyFill="1" applyBorder="1" applyAlignment="1">
      <alignment horizontal="left" indent="2"/>
    </xf>
    <xf numFmtId="38" fontId="6" fillId="11" borderId="6" xfId="0" applyNumberFormat="1" applyFont="1" applyFill="1" applyBorder="1" applyAlignment="1">
      <alignment horizontal="right" wrapText="1"/>
    </xf>
    <xf numFmtId="0" fontId="6" fillId="0" borderId="5" xfId="0" applyFont="1" applyBorder="1" applyAlignment="1">
      <alignment horizontal="left"/>
    </xf>
    <xf numFmtId="38" fontId="6" fillId="0" borderId="6" xfId="0" applyNumberFormat="1" applyFont="1" applyBorder="1" applyAlignment="1">
      <alignment horizontal="right" wrapText="1"/>
    </xf>
    <xf numFmtId="0" fontId="6" fillId="0" borderId="6" xfId="0" applyFont="1" applyBorder="1" applyAlignment="1">
      <alignment horizontal="left" wrapText="1"/>
    </xf>
    <xf numFmtId="0" fontId="6" fillId="18" borderId="7" xfId="0" applyFont="1" applyFill="1" applyBorder="1" applyAlignment="1">
      <alignment horizontal="right" wrapText="1"/>
    </xf>
    <xf numFmtId="0" fontId="7" fillId="10" borderId="7" xfId="0" applyFont="1" applyFill="1" applyBorder="1" applyAlignment="1">
      <alignment horizontal="left" wrapText="1"/>
    </xf>
    <xf numFmtId="40" fontId="6" fillId="19" borderId="13" xfId="0" applyNumberFormat="1" applyFont="1" applyFill="1" applyBorder="1" applyAlignment="1">
      <alignment horizontal="right" wrapText="1"/>
    </xf>
    <xf numFmtId="40" fontId="6" fillId="12" borderId="13" xfId="0" applyNumberFormat="1" applyFont="1" applyFill="1" applyBorder="1" applyAlignment="1">
      <alignment horizontal="right" wrapText="1"/>
    </xf>
    <xf numFmtId="164" fontId="6" fillId="0" borderId="0" xfId="2" applyFont="1"/>
    <xf numFmtId="40" fontId="6" fillId="12" borderId="10" xfId="0" applyNumberFormat="1" applyFont="1" applyFill="1" applyBorder="1" applyAlignment="1">
      <alignment horizontal="right" wrapText="1"/>
    </xf>
    <xf numFmtId="40" fontId="6" fillId="19" borderId="11" xfId="0" applyNumberFormat="1" applyFont="1" applyFill="1" applyBorder="1" applyAlignment="1">
      <alignment horizontal="right" wrapText="1"/>
    </xf>
    <xf numFmtId="40" fontId="6" fillId="19" borderId="12" xfId="0" applyNumberFormat="1" applyFont="1" applyFill="1" applyBorder="1" applyAlignment="1">
      <alignment horizontal="right" wrapText="1"/>
    </xf>
    <xf numFmtId="40" fontId="6" fillId="12" borderId="11" xfId="0" applyNumberFormat="1" applyFont="1" applyFill="1" applyBorder="1" applyAlignment="1">
      <alignment horizontal="right" wrapText="1"/>
    </xf>
    <xf numFmtId="40" fontId="6" fillId="12" borderId="12" xfId="0" applyNumberFormat="1" applyFont="1" applyFill="1" applyBorder="1" applyAlignment="1">
      <alignment horizontal="right" wrapText="1"/>
    </xf>
    <xf numFmtId="9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right"/>
    </xf>
    <xf numFmtId="167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166" fontId="6" fillId="0" borderId="0" xfId="1" applyNumberFormat="1" applyFont="1" applyAlignment="1">
      <alignment horizontal="right"/>
    </xf>
    <xf numFmtId="165" fontId="6" fillId="0" borderId="0" xfId="1" applyFont="1" applyAlignment="1">
      <alignment horizontal="right"/>
    </xf>
    <xf numFmtId="164" fontId="6" fillId="0" borderId="0" xfId="2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164" fontId="11" fillId="0" borderId="0" xfId="0" applyNumberFormat="1" applyFont="1"/>
    <xf numFmtId="164" fontId="11" fillId="0" borderId="0" xfId="2" applyFont="1"/>
    <xf numFmtId="0" fontId="11" fillId="0" borderId="0" xfId="0" applyFont="1" applyAlignment="1">
      <alignment wrapText="1" indent="1"/>
    </xf>
    <xf numFmtId="0" fontId="7" fillId="10" borderId="7" xfId="0" applyFont="1" applyFill="1" applyBorder="1" applyAlignment="1">
      <alignment horizontal="left" wrapText="1"/>
    </xf>
    <xf numFmtId="0" fontId="7" fillId="10" borderId="8" xfId="0" applyFont="1" applyFill="1" applyBorder="1" applyAlignment="1">
      <alignment horizontal="left" wrapText="1"/>
    </xf>
    <xf numFmtId="40" fontId="6" fillId="12" borderId="9" xfId="0" applyNumberFormat="1" applyFont="1" applyFill="1" applyBorder="1" applyAlignment="1">
      <alignment horizontal="right" wrapText="1"/>
    </xf>
    <xf numFmtId="40" fontId="6" fillId="12" borderId="10" xfId="0" applyNumberFormat="1" applyFont="1" applyFill="1" applyBorder="1" applyAlignment="1">
      <alignment horizontal="right" wrapText="1"/>
    </xf>
    <xf numFmtId="40" fontId="6" fillId="19" borderId="11" xfId="0" applyNumberFormat="1" applyFont="1" applyFill="1" applyBorder="1" applyAlignment="1">
      <alignment horizontal="right" wrapText="1"/>
    </xf>
    <xf numFmtId="40" fontId="6" fillId="19" borderId="12" xfId="0" applyNumberFormat="1" applyFont="1" applyFill="1" applyBorder="1" applyAlignment="1">
      <alignment horizontal="right" wrapText="1"/>
    </xf>
    <xf numFmtId="40" fontId="6" fillId="12" borderId="11" xfId="0" applyNumberFormat="1" applyFont="1" applyFill="1" applyBorder="1" applyAlignment="1">
      <alignment horizontal="right" wrapText="1"/>
    </xf>
    <xf numFmtId="40" fontId="6" fillId="12" borderId="12" xfId="0" applyNumberFormat="1" applyFont="1" applyFill="1" applyBorder="1" applyAlignment="1">
      <alignment horizontal="right" wrapText="1"/>
    </xf>
    <xf numFmtId="0" fontId="11" fillId="0" borderId="14" xfId="0" applyFont="1" applyBorder="1" applyAlignment="1">
      <alignment wrapText="1" indent="1"/>
    </xf>
    <xf numFmtId="165" fontId="6" fillId="0" borderId="0" xfId="0" applyNumberFormat="1" applyFont="1" applyFill="1" applyAlignment="1">
      <alignment horizontal="right"/>
    </xf>
  </cellXfs>
  <cellStyles count="9">
    <cellStyle name="Comma [0]" xfId="1" builtinId="6"/>
    <cellStyle name="Currency [0]" xfId="2" builtinId="7"/>
    <cellStyle name="Followed Hyperlink" xfId="4" builtinId="9" hidden="1"/>
    <cellStyle name="Followed Hyperlink" xfId="6" builtinId="9" hidden="1"/>
    <cellStyle name="Followed Hyperlink" xfId="8" builtinId="9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lculo%20R%20Wa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iarios Ipsa"/>
      <sheetName val="Precios Diarios Lipigas"/>
      <sheetName val="Retornos Ipsa"/>
      <sheetName val="Tasa Libre de Riesgo"/>
      <sheetName val="Calculos"/>
    </sheetNames>
    <sheetDataSet>
      <sheetData sheetId="0"/>
      <sheetData sheetId="1"/>
      <sheetData sheetId="2"/>
      <sheetData sheetId="3"/>
      <sheetData sheetId="4">
        <row r="25">
          <cell r="B25">
            <v>5.9745156445527435E-2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zoomScale="120" zoomScaleNormal="120" zoomScalePageLayoutView="120" workbookViewId="0">
      <selection activeCell="A7" sqref="A7"/>
    </sheetView>
  </sheetViews>
  <sheetFormatPr baseColWidth="10" defaultRowHeight="15" x14ac:dyDescent="0.2"/>
  <sheetData>
    <row r="1" spans="1:1" x14ac:dyDescent="0.2">
      <c r="A1" s="8" t="s">
        <v>168</v>
      </c>
    </row>
    <row r="2" spans="1:1" x14ac:dyDescent="0.2">
      <c r="A2" s="8" t="s">
        <v>161</v>
      </c>
    </row>
    <row r="3" spans="1:1" x14ac:dyDescent="0.2">
      <c r="A3" s="9" t="s">
        <v>167</v>
      </c>
    </row>
    <row r="4" spans="1:1" x14ac:dyDescent="0.2">
      <c r="A4" s="9" t="s">
        <v>162</v>
      </c>
    </row>
    <row r="5" spans="1:1" x14ac:dyDescent="0.2">
      <c r="A5" s="9"/>
    </row>
    <row r="6" spans="1:1" x14ac:dyDescent="0.2">
      <c r="A6" s="9" t="s">
        <v>163</v>
      </c>
    </row>
    <row r="7" spans="1:1" x14ac:dyDescent="0.2">
      <c r="A7" s="10" t="s">
        <v>164</v>
      </c>
    </row>
    <row r="8" spans="1:1" x14ac:dyDescent="0.2">
      <c r="A8" s="9" t="s">
        <v>165</v>
      </c>
    </row>
    <row r="9" spans="1:1" x14ac:dyDescent="0.2">
      <c r="A9" s="9" t="s">
        <v>166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="120" zoomScaleNormal="120" zoomScalePageLayoutView="120" workbookViewId="0">
      <selection activeCell="B59" sqref="B59"/>
    </sheetView>
  </sheetViews>
  <sheetFormatPr baseColWidth="10" defaultRowHeight="15" x14ac:dyDescent="0.2"/>
  <cols>
    <col min="1" max="1" width="39.1640625" bestFit="1" customWidth="1"/>
    <col min="2" max="6" width="12" bestFit="1" customWidth="1"/>
  </cols>
  <sheetData>
    <row r="1" spans="1:7" ht="16" thickBot="1" x14ac:dyDescent="0.25">
      <c r="A1" s="11" t="s">
        <v>116</v>
      </c>
      <c r="B1" s="11"/>
      <c r="C1" s="11"/>
      <c r="D1" s="11"/>
      <c r="E1" s="11"/>
      <c r="F1" s="11"/>
    </row>
    <row r="2" spans="1:7" ht="16" thickBot="1" x14ac:dyDescent="0.25">
      <c r="A2" s="16"/>
      <c r="B2" s="17">
        <v>2012</v>
      </c>
      <c r="C2" s="17">
        <v>2013</v>
      </c>
      <c r="D2" s="17">
        <v>2014</v>
      </c>
      <c r="E2" s="17">
        <v>2015</v>
      </c>
      <c r="F2" s="17">
        <v>2016</v>
      </c>
    </row>
    <row r="3" spans="1:7" ht="16" thickBot="1" x14ac:dyDescent="0.25">
      <c r="A3" s="12" t="s">
        <v>0</v>
      </c>
      <c r="B3" s="13" t="s">
        <v>1</v>
      </c>
      <c r="C3" s="13" t="s">
        <v>1</v>
      </c>
      <c r="D3" s="14" t="s">
        <v>2</v>
      </c>
      <c r="E3" s="15" t="s">
        <v>3</v>
      </c>
      <c r="F3" s="15" t="s">
        <v>4</v>
      </c>
    </row>
    <row r="4" spans="1:7" x14ac:dyDescent="0.2">
      <c r="A4" s="18" t="s">
        <v>5</v>
      </c>
      <c r="B4" s="19" t="s">
        <v>6</v>
      </c>
      <c r="C4" s="19" t="s">
        <v>7</v>
      </c>
      <c r="D4" s="19" t="s">
        <v>8</v>
      </c>
      <c r="E4" s="19" t="s">
        <v>9</v>
      </c>
      <c r="F4" s="19" t="s">
        <v>10</v>
      </c>
    </row>
    <row r="5" spans="1:7" ht="16" thickBot="1" x14ac:dyDescent="0.25">
      <c r="A5" s="20" t="s">
        <v>11</v>
      </c>
      <c r="B5" s="20"/>
      <c r="C5" s="20"/>
      <c r="D5" s="20"/>
      <c r="E5" s="20"/>
      <c r="F5" s="20"/>
    </row>
    <row r="6" spans="1:7" ht="16" thickBot="1" x14ac:dyDescent="0.25">
      <c r="A6" s="21" t="s">
        <v>12</v>
      </c>
      <c r="B6" s="22">
        <v>328938173</v>
      </c>
      <c r="C6" s="22">
        <v>380279857</v>
      </c>
      <c r="D6" s="22">
        <v>433182782</v>
      </c>
      <c r="E6" s="22">
        <v>370869740</v>
      </c>
      <c r="F6" s="22">
        <v>402873906</v>
      </c>
    </row>
    <row r="7" spans="1:7" ht="16" thickBot="1" x14ac:dyDescent="0.25">
      <c r="A7" s="21" t="s">
        <v>13</v>
      </c>
      <c r="B7" s="22">
        <v>-214198604</v>
      </c>
      <c r="C7" s="22">
        <v>-257109288</v>
      </c>
      <c r="D7" s="22">
        <v>-303851572</v>
      </c>
      <c r="E7" s="22">
        <v>-206359128</v>
      </c>
      <c r="F7" s="22">
        <v>-222802083</v>
      </c>
    </row>
    <row r="8" spans="1:7" ht="16" thickBot="1" x14ac:dyDescent="0.25">
      <c r="A8" s="21" t="s">
        <v>14</v>
      </c>
      <c r="B8" s="22">
        <v>-5485661</v>
      </c>
      <c r="C8" s="22">
        <v>-5011261</v>
      </c>
      <c r="D8" s="22">
        <v>-11431719</v>
      </c>
      <c r="E8" s="22">
        <v>-8551141</v>
      </c>
      <c r="F8" s="22">
        <v>-14352854</v>
      </c>
    </row>
    <row r="9" spans="1:7" ht="16" thickBot="1" x14ac:dyDescent="0.25">
      <c r="A9" s="21" t="s">
        <v>15</v>
      </c>
      <c r="B9" s="22" t="s">
        <v>16</v>
      </c>
      <c r="C9" s="22" t="s">
        <v>16</v>
      </c>
      <c r="D9" s="22" t="s">
        <v>16</v>
      </c>
      <c r="E9" s="22" t="s">
        <v>16</v>
      </c>
      <c r="F9" s="22" t="s">
        <v>16</v>
      </c>
    </row>
    <row r="10" spans="1:7" ht="16" thickBot="1" x14ac:dyDescent="0.25">
      <c r="A10" s="23" t="s">
        <v>17</v>
      </c>
      <c r="B10" s="24">
        <v>-61563493</v>
      </c>
      <c r="C10" s="24">
        <v>-68800968</v>
      </c>
      <c r="D10" s="24">
        <v>-78095673</v>
      </c>
      <c r="E10" s="24">
        <v>-83231988</v>
      </c>
      <c r="F10" s="24">
        <v>-96855050</v>
      </c>
    </row>
    <row r="11" spans="1:7" ht="16" thickBot="1" x14ac:dyDescent="0.25">
      <c r="A11" s="25" t="s">
        <v>18</v>
      </c>
      <c r="B11" s="26">
        <v>-61563493</v>
      </c>
      <c r="C11" s="26">
        <v>-68800968</v>
      </c>
      <c r="D11" s="26">
        <v>-78095673</v>
      </c>
      <c r="E11" s="26">
        <v>-83231988</v>
      </c>
      <c r="F11" s="26">
        <v>-96855050</v>
      </c>
      <c r="G11" s="7"/>
    </row>
    <row r="12" spans="1:7" ht="16" thickBot="1" x14ac:dyDescent="0.25">
      <c r="A12" s="21" t="s">
        <v>19</v>
      </c>
      <c r="B12" s="22">
        <v>47690415</v>
      </c>
      <c r="C12" s="22">
        <v>49358340</v>
      </c>
      <c r="D12" s="22">
        <v>39803818</v>
      </c>
      <c r="E12" s="22">
        <v>72727483</v>
      </c>
      <c r="F12" s="22">
        <v>68863919</v>
      </c>
    </row>
    <row r="13" spans="1:7" x14ac:dyDescent="0.2">
      <c r="A13" s="27"/>
      <c r="B13" s="27"/>
      <c r="C13" s="27"/>
      <c r="D13" s="27"/>
      <c r="E13" s="27"/>
      <c r="F13" s="28"/>
    </row>
    <row r="14" spans="1:7" ht="16" thickBot="1" x14ac:dyDescent="0.25">
      <c r="A14" s="20" t="s">
        <v>20</v>
      </c>
      <c r="B14" s="20"/>
      <c r="C14" s="20"/>
      <c r="D14" s="20"/>
      <c r="E14" s="20"/>
      <c r="F14" s="20"/>
    </row>
    <row r="15" spans="1:7" ht="16" thickBot="1" x14ac:dyDescent="0.25">
      <c r="A15" s="23" t="s">
        <v>21</v>
      </c>
      <c r="B15" s="24">
        <v>-18189022</v>
      </c>
      <c r="C15" s="24">
        <v>-19955457</v>
      </c>
      <c r="D15" s="24">
        <v>-27462302</v>
      </c>
      <c r="E15" s="24">
        <v>-22180615</v>
      </c>
      <c r="F15" s="24">
        <v>-28178658</v>
      </c>
    </row>
    <row r="16" spans="1:7" ht="16" thickBot="1" x14ac:dyDescent="0.25">
      <c r="A16" s="25" t="s">
        <v>22</v>
      </c>
      <c r="B16" s="26">
        <v>-17305422</v>
      </c>
      <c r="C16" s="26">
        <v>-19306980</v>
      </c>
      <c r="D16" s="26">
        <v>-26073590</v>
      </c>
      <c r="E16" s="26">
        <v>-21714687</v>
      </c>
      <c r="F16" s="26">
        <v>-26261598</v>
      </c>
    </row>
    <row r="17" spans="1:6" ht="16" thickBot="1" x14ac:dyDescent="0.25">
      <c r="A17" s="25" t="s">
        <v>23</v>
      </c>
      <c r="B17" s="26">
        <v>-883600</v>
      </c>
      <c r="C17" s="26">
        <v>-648477</v>
      </c>
      <c r="D17" s="26">
        <v>-1388712</v>
      </c>
      <c r="E17" s="26">
        <v>-465928</v>
      </c>
      <c r="F17" s="26">
        <v>-1917060</v>
      </c>
    </row>
    <row r="18" spans="1:6" ht="16" thickBot="1" x14ac:dyDescent="0.25">
      <c r="A18" s="23" t="s">
        <v>24</v>
      </c>
      <c r="B18" s="24">
        <v>-1336734</v>
      </c>
      <c r="C18" s="24">
        <v>-30472391</v>
      </c>
      <c r="D18" s="24">
        <v>-5716230</v>
      </c>
      <c r="E18" s="24">
        <v>-2084848</v>
      </c>
      <c r="F18" s="24">
        <v>-17827425</v>
      </c>
    </row>
    <row r="19" spans="1:6" ht="16" thickBot="1" x14ac:dyDescent="0.25">
      <c r="A19" s="25" t="s">
        <v>25</v>
      </c>
      <c r="B19" s="26" t="s">
        <v>16</v>
      </c>
      <c r="C19" s="26">
        <v>-16571850</v>
      </c>
      <c r="D19" s="26">
        <v>-4285000</v>
      </c>
      <c r="E19" s="26" t="s">
        <v>16</v>
      </c>
      <c r="F19" s="26">
        <v>-17601013</v>
      </c>
    </row>
    <row r="20" spans="1:6" ht="16" thickBot="1" x14ac:dyDescent="0.25">
      <c r="A20" s="25" t="s">
        <v>26</v>
      </c>
      <c r="B20" s="26">
        <v>0</v>
      </c>
      <c r="C20" s="26" t="s">
        <v>16</v>
      </c>
      <c r="D20" s="26" t="s">
        <v>16</v>
      </c>
      <c r="E20" s="26">
        <v>0</v>
      </c>
      <c r="F20" s="26" t="s">
        <v>16</v>
      </c>
    </row>
    <row r="21" spans="1:6" ht="16" thickBot="1" x14ac:dyDescent="0.25">
      <c r="A21" s="25" t="s">
        <v>27</v>
      </c>
      <c r="B21" s="26">
        <v>24037</v>
      </c>
      <c r="C21" s="26">
        <v>44582</v>
      </c>
      <c r="D21" s="26">
        <v>5576744</v>
      </c>
      <c r="E21" s="26">
        <v>188484</v>
      </c>
      <c r="F21" s="26">
        <v>75060</v>
      </c>
    </row>
    <row r="22" spans="1:6" ht="16" thickBot="1" x14ac:dyDescent="0.25">
      <c r="A22" s="25" t="s">
        <v>28</v>
      </c>
      <c r="B22" s="26">
        <v>0</v>
      </c>
      <c r="C22" s="26">
        <v>-5967523</v>
      </c>
      <c r="D22" s="26">
        <v>0</v>
      </c>
      <c r="E22" s="26" t="s">
        <v>16</v>
      </c>
      <c r="F22" s="26" t="s">
        <v>16</v>
      </c>
    </row>
    <row r="23" spans="1:6" ht="16" thickBot="1" x14ac:dyDescent="0.25">
      <c r="A23" s="25" t="s">
        <v>29</v>
      </c>
      <c r="B23" s="26">
        <v>-1360771</v>
      </c>
      <c r="C23" s="26">
        <v>-7977600</v>
      </c>
      <c r="D23" s="26">
        <v>-7007974</v>
      </c>
      <c r="E23" s="26">
        <v>-2273332</v>
      </c>
      <c r="F23" s="26">
        <v>-301472</v>
      </c>
    </row>
    <row r="24" spans="1:6" ht="16" thickBot="1" x14ac:dyDescent="0.25">
      <c r="A24" s="21" t="s">
        <v>30</v>
      </c>
      <c r="B24" s="22">
        <v>-19525756</v>
      </c>
      <c r="C24" s="22">
        <v>-50427848</v>
      </c>
      <c r="D24" s="22">
        <v>-33178532</v>
      </c>
      <c r="E24" s="22">
        <v>-24265463</v>
      </c>
      <c r="F24" s="22">
        <v>-46006083</v>
      </c>
    </row>
    <row r="25" spans="1:6" x14ac:dyDescent="0.2">
      <c r="A25" s="27"/>
      <c r="B25" s="27"/>
      <c r="C25" s="27"/>
      <c r="D25" s="27"/>
      <c r="E25" s="27"/>
      <c r="F25" s="27"/>
    </row>
    <row r="26" spans="1:6" ht="16" thickBot="1" x14ac:dyDescent="0.25">
      <c r="A26" s="20" t="s">
        <v>31</v>
      </c>
      <c r="B26" s="20"/>
      <c r="C26" s="20"/>
      <c r="D26" s="20"/>
      <c r="E26" s="20"/>
      <c r="F26" s="20"/>
    </row>
    <row r="27" spans="1:6" ht="16" thickBot="1" x14ac:dyDescent="0.25">
      <c r="A27" s="23" t="s">
        <v>32</v>
      </c>
      <c r="B27" s="24">
        <v>-205353</v>
      </c>
      <c r="C27" s="24">
        <v>-843077</v>
      </c>
      <c r="D27" s="24">
        <v>-4590773</v>
      </c>
      <c r="E27" s="24">
        <v>-4216570</v>
      </c>
      <c r="F27" s="24">
        <v>-4372360</v>
      </c>
    </row>
    <row r="28" spans="1:6" ht="16" thickBot="1" x14ac:dyDescent="0.25">
      <c r="A28" s="25" t="s">
        <v>33</v>
      </c>
      <c r="B28" s="26">
        <v>-205353</v>
      </c>
      <c r="C28" s="26">
        <v>-843077</v>
      </c>
      <c r="D28" s="26">
        <v>-4590773</v>
      </c>
      <c r="E28" s="26">
        <v>-4216570</v>
      </c>
      <c r="F28" s="26">
        <v>-4372360</v>
      </c>
    </row>
    <row r="29" spans="1:6" ht="16" thickBot="1" x14ac:dyDescent="0.25">
      <c r="A29" s="23" t="s">
        <v>34</v>
      </c>
      <c r="B29" s="24">
        <v>-27000000</v>
      </c>
      <c r="C29" s="24">
        <v>-53442769</v>
      </c>
      <c r="D29" s="24">
        <v>-50752827</v>
      </c>
      <c r="E29" s="24">
        <v>-35328386</v>
      </c>
      <c r="F29" s="24">
        <v>-30157146</v>
      </c>
    </row>
    <row r="30" spans="1:6" ht="16" thickBot="1" x14ac:dyDescent="0.25">
      <c r="A30" s="25" t="s">
        <v>35</v>
      </c>
      <c r="B30" s="26">
        <v>-27000000</v>
      </c>
      <c r="C30" s="26">
        <v>-53442769</v>
      </c>
      <c r="D30" s="26">
        <v>-50752827</v>
      </c>
      <c r="E30" s="26">
        <v>-35328386</v>
      </c>
      <c r="F30" s="26">
        <v>-30157146</v>
      </c>
    </row>
    <row r="31" spans="1:6" ht="16" thickBot="1" x14ac:dyDescent="0.25">
      <c r="A31" s="23" t="s">
        <v>36</v>
      </c>
      <c r="B31" s="24">
        <v>0</v>
      </c>
      <c r="C31" s="24">
        <v>24442763</v>
      </c>
      <c r="D31" s="24">
        <v>34252836</v>
      </c>
      <c r="E31" s="24" t="s">
        <v>16</v>
      </c>
      <c r="F31" s="24" t="s">
        <v>16</v>
      </c>
    </row>
    <row r="32" spans="1:6" ht="16" thickBot="1" x14ac:dyDescent="0.25">
      <c r="A32" s="25" t="s">
        <v>37</v>
      </c>
      <c r="B32" s="26">
        <v>0</v>
      </c>
      <c r="C32" s="26">
        <v>24442763</v>
      </c>
      <c r="D32" s="26">
        <v>34252836</v>
      </c>
      <c r="E32" s="26" t="s">
        <v>16</v>
      </c>
      <c r="F32" s="26" t="s">
        <v>16</v>
      </c>
    </row>
    <row r="33" spans="1:6" ht="16" thickBot="1" x14ac:dyDescent="0.25">
      <c r="A33" s="25" t="s">
        <v>38</v>
      </c>
      <c r="B33" s="26">
        <v>0</v>
      </c>
      <c r="C33" s="26">
        <v>24442763</v>
      </c>
      <c r="D33" s="26">
        <v>34252836</v>
      </c>
      <c r="E33" s="26" t="s">
        <v>16</v>
      </c>
      <c r="F33" s="26" t="s">
        <v>16</v>
      </c>
    </row>
    <row r="34" spans="1:6" ht="16" thickBot="1" x14ac:dyDescent="0.25">
      <c r="A34" s="23" t="s">
        <v>39</v>
      </c>
      <c r="B34" s="24">
        <v>1405199</v>
      </c>
      <c r="C34" s="24">
        <v>34345016</v>
      </c>
      <c r="D34" s="24">
        <v>13243815</v>
      </c>
      <c r="E34" s="24">
        <v>12851744</v>
      </c>
      <c r="F34" s="24">
        <v>-1178668</v>
      </c>
    </row>
    <row r="35" spans="1:6" ht="16" thickBot="1" x14ac:dyDescent="0.25">
      <c r="A35" s="25" t="s">
        <v>40</v>
      </c>
      <c r="B35" s="26">
        <v>1357499</v>
      </c>
      <c r="C35" s="26">
        <v>5404600</v>
      </c>
      <c r="D35" s="26">
        <v>19132289</v>
      </c>
      <c r="E35" s="26">
        <v>0</v>
      </c>
      <c r="F35" s="26">
        <v>9158325</v>
      </c>
    </row>
    <row r="36" spans="1:6" ht="16" thickBot="1" x14ac:dyDescent="0.25">
      <c r="A36" s="25" t="s">
        <v>41</v>
      </c>
      <c r="B36" s="26">
        <v>1357499</v>
      </c>
      <c r="C36" s="26">
        <v>5404600</v>
      </c>
      <c r="D36" s="26">
        <v>19132289</v>
      </c>
      <c r="E36" s="26">
        <v>0</v>
      </c>
      <c r="F36" s="26">
        <v>9158325</v>
      </c>
    </row>
    <row r="37" spans="1:6" ht="16" thickBot="1" x14ac:dyDescent="0.25">
      <c r="A37" s="25" t="s">
        <v>42</v>
      </c>
      <c r="B37" s="26">
        <v>883015</v>
      </c>
      <c r="C37" s="26">
        <v>42597745</v>
      </c>
      <c r="D37" s="26">
        <v>0</v>
      </c>
      <c r="E37" s="26">
        <v>90107860</v>
      </c>
      <c r="F37" s="26">
        <v>2856033</v>
      </c>
    </row>
    <row r="38" spans="1:6" ht="16" thickBot="1" x14ac:dyDescent="0.25">
      <c r="A38" s="25" t="s">
        <v>43</v>
      </c>
      <c r="B38" s="26">
        <v>883015</v>
      </c>
      <c r="C38" s="26">
        <v>42597745</v>
      </c>
      <c r="D38" s="26">
        <v>0</v>
      </c>
      <c r="E38" s="26">
        <v>90107860</v>
      </c>
      <c r="F38" s="26">
        <v>2856033</v>
      </c>
    </row>
    <row r="39" spans="1:6" ht="16" thickBot="1" x14ac:dyDescent="0.25">
      <c r="A39" s="25" t="s">
        <v>44</v>
      </c>
      <c r="B39" s="26">
        <v>-835315</v>
      </c>
      <c r="C39" s="26">
        <v>-13657329</v>
      </c>
      <c r="D39" s="26">
        <v>-5888474</v>
      </c>
      <c r="E39" s="26">
        <v>-77256116</v>
      </c>
      <c r="F39" s="26">
        <v>-13193026</v>
      </c>
    </row>
    <row r="40" spans="1:6" ht="16" thickBot="1" x14ac:dyDescent="0.25">
      <c r="A40" s="21" t="s">
        <v>45</v>
      </c>
      <c r="B40" s="22">
        <v>-25800154</v>
      </c>
      <c r="C40" s="22">
        <v>4501933</v>
      </c>
      <c r="D40" s="22">
        <v>-7846949</v>
      </c>
      <c r="E40" s="22">
        <v>-26693212</v>
      </c>
      <c r="F40" s="22">
        <v>-35708174</v>
      </c>
    </row>
    <row r="41" spans="1:6" ht="16" thickBot="1" x14ac:dyDescent="0.25">
      <c r="A41" s="27"/>
      <c r="B41" s="27"/>
      <c r="C41" s="27"/>
      <c r="D41" s="27"/>
      <c r="E41" s="27"/>
      <c r="F41" s="27"/>
    </row>
    <row r="42" spans="1:6" ht="16" thickBot="1" x14ac:dyDescent="0.25">
      <c r="A42" s="21" t="s">
        <v>46</v>
      </c>
      <c r="B42" s="22">
        <v>-8309</v>
      </c>
      <c r="C42" s="22">
        <v>29053</v>
      </c>
      <c r="D42" s="22">
        <v>-260667</v>
      </c>
      <c r="E42" s="22">
        <v>-225692</v>
      </c>
      <c r="F42" s="22">
        <v>-242603</v>
      </c>
    </row>
    <row r="43" spans="1:6" ht="16" thickBot="1" x14ac:dyDescent="0.25">
      <c r="A43" s="21" t="s">
        <v>47</v>
      </c>
      <c r="B43" s="22">
        <v>2356196</v>
      </c>
      <c r="C43" s="22">
        <v>3461478</v>
      </c>
      <c r="D43" s="22">
        <v>-1482330</v>
      </c>
      <c r="E43" s="22">
        <v>21543116</v>
      </c>
      <c r="F43" s="22">
        <v>-13092941</v>
      </c>
    </row>
    <row r="44" spans="1:6" ht="16" thickBot="1" x14ac:dyDescent="0.25">
      <c r="A44" s="27"/>
      <c r="B44" s="27"/>
      <c r="C44" s="27"/>
      <c r="D44" s="27"/>
      <c r="E44" s="27"/>
      <c r="F44" s="27"/>
    </row>
    <row r="45" spans="1:6" ht="16" thickBot="1" x14ac:dyDescent="0.25">
      <c r="A45" s="21" t="s">
        <v>48</v>
      </c>
      <c r="B45" s="22">
        <v>5336459</v>
      </c>
      <c r="C45" s="22">
        <v>7692655</v>
      </c>
      <c r="D45" s="22">
        <v>11154132</v>
      </c>
      <c r="E45" s="22">
        <v>9671802</v>
      </c>
      <c r="F45" s="22">
        <v>31214918</v>
      </c>
    </row>
    <row r="46" spans="1:6" ht="16" thickBot="1" x14ac:dyDescent="0.25">
      <c r="A46" s="21" t="s">
        <v>49</v>
      </c>
      <c r="B46" s="22">
        <v>7692655</v>
      </c>
      <c r="C46" s="22">
        <v>11154132</v>
      </c>
      <c r="D46" s="22">
        <v>9671802</v>
      </c>
      <c r="E46" s="22">
        <v>31214918</v>
      </c>
      <c r="F46" s="22">
        <v>18121977</v>
      </c>
    </row>
    <row r="47" spans="1:6" ht="16" thickBot="1" x14ac:dyDescent="0.25">
      <c r="A47" s="21" t="s">
        <v>50</v>
      </c>
      <c r="B47" s="22" t="s">
        <v>16</v>
      </c>
      <c r="C47" s="22" t="s">
        <v>16</v>
      </c>
      <c r="D47" s="22" t="s">
        <v>16</v>
      </c>
      <c r="E47" s="22" t="s">
        <v>16</v>
      </c>
      <c r="F47" s="22" t="s">
        <v>16</v>
      </c>
    </row>
    <row r="48" spans="1:6" ht="16" thickBot="1" x14ac:dyDescent="0.25">
      <c r="A48" s="21" t="s">
        <v>51</v>
      </c>
      <c r="B48" s="22" t="s">
        <v>16</v>
      </c>
      <c r="C48" s="22" t="s">
        <v>16</v>
      </c>
      <c r="D48" s="22" t="s">
        <v>16</v>
      </c>
      <c r="E48" s="22" t="s">
        <v>16</v>
      </c>
      <c r="F48" s="22" t="s">
        <v>16</v>
      </c>
    </row>
    <row r="49" spans="1:6" x14ac:dyDescent="0.2">
      <c r="A49" s="21" t="s">
        <v>52</v>
      </c>
      <c r="B49" s="22" t="s">
        <v>16</v>
      </c>
      <c r="C49" s="22" t="s">
        <v>16</v>
      </c>
      <c r="D49" s="22" t="s">
        <v>16</v>
      </c>
      <c r="E49" s="22" t="s">
        <v>16</v>
      </c>
      <c r="F49" s="22" t="s">
        <v>16</v>
      </c>
    </row>
    <row r="50" spans="1:6" ht="16" thickBot="1" x14ac:dyDescent="0.25">
      <c r="A50" s="2"/>
    </row>
    <row r="51" spans="1:6" x14ac:dyDescent="0.2">
      <c r="A51" s="3"/>
      <c r="B51" s="1"/>
      <c r="C51" s="1"/>
      <c r="D51" s="1"/>
      <c r="E51" s="1"/>
      <c r="F5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zoomScale="120" zoomScaleNormal="120" zoomScalePageLayoutView="120" workbookViewId="0">
      <selection activeCell="A67" sqref="A67"/>
    </sheetView>
  </sheetViews>
  <sheetFormatPr baseColWidth="10" defaultRowHeight="15" x14ac:dyDescent="0.2"/>
  <cols>
    <col min="1" max="1" width="36.83203125" bestFit="1" customWidth="1"/>
  </cols>
  <sheetData>
    <row r="1" spans="1:6" ht="16" thickBot="1" x14ac:dyDescent="0.25">
      <c r="A1" s="11" t="s">
        <v>115</v>
      </c>
    </row>
    <row r="2" spans="1:6" ht="16" thickBot="1" x14ac:dyDescent="0.25">
      <c r="A2" s="33"/>
      <c r="B2" s="34">
        <v>2012</v>
      </c>
      <c r="C2" s="34">
        <v>2013</v>
      </c>
      <c r="D2" s="34">
        <v>2014</v>
      </c>
      <c r="E2" s="34">
        <v>2015</v>
      </c>
      <c r="F2" s="34">
        <v>2016</v>
      </c>
    </row>
    <row r="3" spans="1:6" ht="16" thickBot="1" x14ac:dyDescent="0.25">
      <c r="A3" s="29" t="s">
        <v>0</v>
      </c>
      <c r="B3" s="30" t="s">
        <v>1</v>
      </c>
      <c r="C3" s="30" t="s">
        <v>1</v>
      </c>
      <c r="D3" s="31" t="s">
        <v>2</v>
      </c>
      <c r="E3" s="32" t="s">
        <v>3</v>
      </c>
      <c r="F3" s="32" t="s">
        <v>4</v>
      </c>
    </row>
    <row r="4" spans="1:6" x14ac:dyDescent="0.2">
      <c r="A4" s="35" t="s">
        <v>5</v>
      </c>
      <c r="B4" s="36" t="s">
        <v>6</v>
      </c>
      <c r="C4" s="36" t="s">
        <v>7</v>
      </c>
      <c r="D4" s="36" t="s">
        <v>8</v>
      </c>
      <c r="E4" s="36" t="s">
        <v>9</v>
      </c>
      <c r="F4" s="36" t="s">
        <v>10</v>
      </c>
    </row>
    <row r="5" spans="1:6" ht="16" thickBot="1" x14ac:dyDescent="0.25">
      <c r="A5" s="37" t="s">
        <v>55</v>
      </c>
      <c r="B5" s="37"/>
      <c r="C5" s="37"/>
      <c r="D5" s="37"/>
      <c r="E5" s="37"/>
      <c r="F5" s="37"/>
    </row>
    <row r="6" spans="1:6" ht="16" thickBot="1" x14ac:dyDescent="0.25">
      <c r="A6" s="38" t="s">
        <v>56</v>
      </c>
      <c r="B6" s="39">
        <v>7692655</v>
      </c>
      <c r="C6" s="39">
        <v>11233211</v>
      </c>
      <c r="D6" s="39">
        <v>10852129</v>
      </c>
      <c r="E6" s="39">
        <v>31461895</v>
      </c>
      <c r="F6" s="39">
        <v>18121977</v>
      </c>
    </row>
    <row r="7" spans="1:6" ht="16" thickBot="1" x14ac:dyDescent="0.25">
      <c r="A7" s="40" t="s">
        <v>57</v>
      </c>
      <c r="B7" s="41">
        <v>7692655</v>
      </c>
      <c r="C7" s="41">
        <v>11154132</v>
      </c>
      <c r="D7" s="41">
        <v>9671802</v>
      </c>
      <c r="E7" s="41">
        <v>31214918</v>
      </c>
      <c r="F7" s="41">
        <v>18121977</v>
      </c>
    </row>
    <row r="8" spans="1:6" ht="16" thickBot="1" x14ac:dyDescent="0.25">
      <c r="A8" s="40" t="s">
        <v>58</v>
      </c>
      <c r="B8" s="41">
        <v>0</v>
      </c>
      <c r="C8" s="41">
        <v>79079</v>
      </c>
      <c r="D8" s="41">
        <v>1180327</v>
      </c>
      <c r="E8" s="41">
        <v>246977</v>
      </c>
      <c r="F8" s="41">
        <v>0</v>
      </c>
    </row>
    <row r="9" spans="1:6" ht="16" thickBot="1" x14ac:dyDescent="0.25">
      <c r="A9" s="42" t="s">
        <v>59</v>
      </c>
      <c r="B9" s="43">
        <v>23863159</v>
      </c>
      <c r="C9" s="43">
        <v>26205111</v>
      </c>
      <c r="D9" s="43">
        <v>22911634</v>
      </c>
      <c r="E9" s="43">
        <v>25394451</v>
      </c>
      <c r="F9" s="43">
        <v>31580348</v>
      </c>
    </row>
    <row r="10" spans="1:6" ht="16" thickBot="1" x14ac:dyDescent="0.25">
      <c r="A10" s="38" t="s">
        <v>60</v>
      </c>
      <c r="B10" s="39">
        <v>26604585</v>
      </c>
      <c r="C10" s="39">
        <v>26205111</v>
      </c>
      <c r="D10" s="39">
        <v>26625774</v>
      </c>
      <c r="E10" s="39">
        <v>28516049</v>
      </c>
      <c r="F10" s="39">
        <v>34492966</v>
      </c>
    </row>
    <row r="11" spans="1:6" ht="16" thickBot="1" x14ac:dyDescent="0.25">
      <c r="A11" s="40" t="s">
        <v>61</v>
      </c>
      <c r="B11" s="41">
        <v>2741426</v>
      </c>
      <c r="C11" s="41">
        <v>0</v>
      </c>
      <c r="D11" s="41">
        <v>3714140</v>
      </c>
      <c r="E11" s="41">
        <v>3121598</v>
      </c>
      <c r="F11" s="41">
        <v>2912618</v>
      </c>
    </row>
    <row r="12" spans="1:6" ht="16" thickBot="1" x14ac:dyDescent="0.25">
      <c r="A12" s="42" t="s">
        <v>62</v>
      </c>
      <c r="B12" s="43">
        <v>10348046</v>
      </c>
      <c r="C12" s="43">
        <v>11727978</v>
      </c>
      <c r="D12" s="43">
        <v>10381364</v>
      </c>
      <c r="E12" s="43">
        <v>13397561</v>
      </c>
      <c r="F12" s="43">
        <v>16538407</v>
      </c>
    </row>
    <row r="13" spans="1:6" ht="16" thickBot="1" x14ac:dyDescent="0.25">
      <c r="A13" s="42" t="s">
        <v>63</v>
      </c>
      <c r="B13" s="43" t="s">
        <v>16</v>
      </c>
      <c r="C13" s="43" t="s">
        <v>16</v>
      </c>
      <c r="D13" s="43" t="s">
        <v>16</v>
      </c>
      <c r="E13" s="43" t="s">
        <v>16</v>
      </c>
      <c r="F13" s="43" t="s">
        <v>16</v>
      </c>
    </row>
    <row r="14" spans="1:6" ht="16" thickBot="1" x14ac:dyDescent="0.25">
      <c r="A14" s="38" t="s">
        <v>64</v>
      </c>
      <c r="B14" s="39">
        <v>353761</v>
      </c>
      <c r="C14" s="39">
        <v>4204225</v>
      </c>
      <c r="D14" s="39">
        <v>377971</v>
      </c>
      <c r="E14" s="39">
        <v>460065</v>
      </c>
      <c r="F14" s="39">
        <v>843378</v>
      </c>
    </row>
    <row r="15" spans="1:6" ht="16" thickBot="1" x14ac:dyDescent="0.25">
      <c r="A15" s="40" t="s">
        <v>65</v>
      </c>
      <c r="B15" s="41">
        <v>0</v>
      </c>
      <c r="C15" s="41">
        <v>3641535</v>
      </c>
      <c r="D15" s="41">
        <v>0</v>
      </c>
      <c r="E15" s="41">
        <v>58080</v>
      </c>
      <c r="F15" s="41">
        <v>44294</v>
      </c>
    </row>
    <row r="16" spans="1:6" ht="16" thickBot="1" x14ac:dyDescent="0.25">
      <c r="A16" s="40" t="s">
        <v>66</v>
      </c>
      <c r="B16" s="41">
        <v>353761</v>
      </c>
      <c r="C16" s="41">
        <v>562690</v>
      </c>
      <c r="D16" s="41">
        <v>377971</v>
      </c>
      <c r="E16" s="41">
        <v>401985</v>
      </c>
      <c r="F16" s="41">
        <v>799084</v>
      </c>
    </row>
    <row r="17" spans="1:6" ht="16" thickBot="1" x14ac:dyDescent="0.25">
      <c r="A17" s="42" t="s">
        <v>67</v>
      </c>
      <c r="B17" s="43">
        <v>44999047</v>
      </c>
      <c r="C17" s="43">
        <v>53370525</v>
      </c>
      <c r="D17" s="43">
        <v>48237238</v>
      </c>
      <c r="E17" s="43">
        <v>73835570</v>
      </c>
      <c r="F17" s="43">
        <v>69996728</v>
      </c>
    </row>
    <row r="18" spans="1:6" ht="16" thickBot="1" x14ac:dyDescent="0.25">
      <c r="A18" s="44"/>
      <c r="B18" s="44"/>
      <c r="C18" s="44"/>
      <c r="D18" s="44"/>
      <c r="E18" s="44"/>
      <c r="F18" s="44"/>
    </row>
    <row r="19" spans="1:6" ht="16" thickBot="1" x14ac:dyDescent="0.25">
      <c r="A19" s="42" t="s">
        <v>68</v>
      </c>
      <c r="B19" s="43" t="s">
        <v>16</v>
      </c>
      <c r="C19" s="43" t="s">
        <v>16</v>
      </c>
      <c r="D19" s="43" t="s">
        <v>16</v>
      </c>
      <c r="E19" s="43" t="s">
        <v>16</v>
      </c>
      <c r="F19" s="43" t="s">
        <v>16</v>
      </c>
    </row>
    <row r="20" spans="1:6" ht="16" thickBot="1" x14ac:dyDescent="0.25">
      <c r="A20" s="42" t="s">
        <v>69</v>
      </c>
      <c r="B20" s="43">
        <v>176249191</v>
      </c>
      <c r="C20" s="43">
        <v>201285722</v>
      </c>
      <c r="D20" s="43">
        <v>215858736</v>
      </c>
      <c r="E20" s="43">
        <v>252967905</v>
      </c>
      <c r="F20" s="43">
        <v>278294088</v>
      </c>
    </row>
    <row r="21" spans="1:6" ht="16" thickBot="1" x14ac:dyDescent="0.25">
      <c r="A21" s="42" t="s">
        <v>70</v>
      </c>
      <c r="B21" s="43">
        <v>1433970</v>
      </c>
      <c r="C21" s="43">
        <v>8074324</v>
      </c>
      <c r="D21" s="43">
        <v>4124635</v>
      </c>
      <c r="E21" s="43">
        <v>3947615</v>
      </c>
      <c r="F21" s="43">
        <v>14054987</v>
      </c>
    </row>
    <row r="22" spans="1:6" ht="16" thickBot="1" x14ac:dyDescent="0.25">
      <c r="A22" s="42" t="s">
        <v>71</v>
      </c>
      <c r="B22" s="43">
        <v>1282720</v>
      </c>
      <c r="C22" s="43">
        <v>4544115</v>
      </c>
      <c r="D22" s="43">
        <v>7866712</v>
      </c>
      <c r="E22" s="43">
        <v>6912822</v>
      </c>
      <c r="F22" s="43">
        <v>8544594</v>
      </c>
    </row>
    <row r="23" spans="1:6" ht="16" thickBot="1" x14ac:dyDescent="0.25">
      <c r="A23" s="38" t="s">
        <v>72</v>
      </c>
      <c r="B23" s="39">
        <v>197075</v>
      </c>
      <c r="C23" s="39">
        <v>9320292</v>
      </c>
      <c r="D23" s="39">
        <v>15716753</v>
      </c>
      <c r="E23" s="39">
        <v>808732</v>
      </c>
      <c r="F23" s="39">
        <v>1868035</v>
      </c>
    </row>
    <row r="24" spans="1:6" ht="16" thickBot="1" x14ac:dyDescent="0.25">
      <c r="A24" s="40" t="s">
        <v>73</v>
      </c>
      <c r="B24" s="41">
        <v>197075</v>
      </c>
      <c r="C24" s="41">
        <v>293649</v>
      </c>
      <c r="D24" s="41">
        <v>323521</v>
      </c>
      <c r="E24" s="41">
        <v>284913</v>
      </c>
      <c r="F24" s="41">
        <v>1100</v>
      </c>
    </row>
    <row r="25" spans="1:6" ht="16" thickBot="1" x14ac:dyDescent="0.25">
      <c r="A25" s="40" t="s">
        <v>74</v>
      </c>
      <c r="B25" s="41">
        <v>0</v>
      </c>
      <c r="C25" s="41">
        <v>9026643</v>
      </c>
      <c r="D25" s="41">
        <v>15393232</v>
      </c>
      <c r="E25" s="41">
        <v>523819</v>
      </c>
      <c r="F25" s="41">
        <v>1866935</v>
      </c>
    </row>
    <row r="26" spans="1:6" ht="16" thickBot="1" x14ac:dyDescent="0.25">
      <c r="A26" s="42" t="s">
        <v>75</v>
      </c>
      <c r="B26" s="43" t="s">
        <v>16</v>
      </c>
      <c r="C26" s="43" t="s">
        <v>16</v>
      </c>
      <c r="D26" s="43" t="s">
        <v>16</v>
      </c>
      <c r="E26" s="43" t="s">
        <v>16</v>
      </c>
      <c r="F26" s="43" t="s">
        <v>16</v>
      </c>
    </row>
    <row r="27" spans="1:6" ht="16" thickBot="1" x14ac:dyDescent="0.25">
      <c r="A27" s="38" t="s">
        <v>76</v>
      </c>
      <c r="B27" s="39">
        <v>766721</v>
      </c>
      <c r="C27" s="39">
        <v>1591876</v>
      </c>
      <c r="D27" s="39">
        <v>1353488</v>
      </c>
      <c r="E27" s="39">
        <v>1448499</v>
      </c>
      <c r="F27" s="39">
        <v>1884200</v>
      </c>
    </row>
    <row r="28" spans="1:6" ht="16" thickBot="1" x14ac:dyDescent="0.25">
      <c r="A28" s="40" t="s">
        <v>77</v>
      </c>
      <c r="B28" s="41">
        <v>0</v>
      </c>
      <c r="C28" s="41">
        <v>239217</v>
      </c>
      <c r="D28" s="41">
        <v>112212</v>
      </c>
      <c r="E28" s="41">
        <v>537654</v>
      </c>
      <c r="F28" s="41">
        <v>912278</v>
      </c>
    </row>
    <row r="29" spans="1:6" ht="16" thickBot="1" x14ac:dyDescent="0.25">
      <c r="A29" s="40" t="s">
        <v>78</v>
      </c>
      <c r="B29" s="41">
        <v>766721</v>
      </c>
      <c r="C29" s="41">
        <v>1352659</v>
      </c>
      <c r="D29" s="41">
        <v>1241276</v>
      </c>
      <c r="E29" s="41">
        <v>910845</v>
      </c>
      <c r="F29" s="41">
        <v>971922</v>
      </c>
    </row>
    <row r="30" spans="1:6" ht="16" thickBot="1" x14ac:dyDescent="0.25">
      <c r="A30" s="42" t="s">
        <v>79</v>
      </c>
      <c r="B30" s="43">
        <v>224928724</v>
      </c>
      <c r="C30" s="43">
        <v>278186854</v>
      </c>
      <c r="D30" s="43">
        <v>293157562</v>
      </c>
      <c r="E30" s="43">
        <v>339921143</v>
      </c>
      <c r="F30" s="43">
        <v>374642632</v>
      </c>
    </row>
    <row r="31" spans="1:6" x14ac:dyDescent="0.2">
      <c r="A31" s="44"/>
      <c r="B31" s="44"/>
      <c r="C31" s="44"/>
      <c r="D31" s="44"/>
      <c r="E31" s="44"/>
      <c r="F31" s="44"/>
    </row>
    <row r="32" spans="1:6" ht="16" thickBot="1" x14ac:dyDescent="0.25">
      <c r="A32" s="37" t="s">
        <v>80</v>
      </c>
      <c r="B32" s="37"/>
      <c r="C32" s="37"/>
      <c r="D32" s="37"/>
      <c r="E32" s="37"/>
      <c r="F32" s="37"/>
    </row>
    <row r="33" spans="1:6" ht="16" thickBot="1" x14ac:dyDescent="0.25">
      <c r="A33" s="42" t="s">
        <v>81</v>
      </c>
      <c r="B33" s="43">
        <v>22168805</v>
      </c>
      <c r="C33" s="43">
        <v>23970231</v>
      </c>
      <c r="D33" s="43">
        <v>21440976</v>
      </c>
      <c r="E33" s="43">
        <v>22046851</v>
      </c>
      <c r="F33" s="43">
        <v>34902813</v>
      </c>
    </row>
    <row r="34" spans="1:6" ht="16" thickBot="1" x14ac:dyDescent="0.25">
      <c r="A34" s="42" t="s">
        <v>82</v>
      </c>
      <c r="B34" s="43" t="s">
        <v>16</v>
      </c>
      <c r="C34" s="43" t="s">
        <v>16</v>
      </c>
      <c r="D34" s="43" t="s">
        <v>16</v>
      </c>
      <c r="E34" s="43" t="s">
        <v>16</v>
      </c>
      <c r="F34" s="43" t="s">
        <v>16</v>
      </c>
    </row>
    <row r="35" spans="1:6" ht="16" thickBot="1" x14ac:dyDescent="0.25">
      <c r="A35" s="42" t="s">
        <v>83</v>
      </c>
      <c r="B35" s="43">
        <v>723212</v>
      </c>
      <c r="C35" s="43">
        <v>1608100</v>
      </c>
      <c r="D35" s="43">
        <v>1170655</v>
      </c>
      <c r="E35" s="43">
        <v>2013419</v>
      </c>
      <c r="F35" s="43">
        <v>1624135</v>
      </c>
    </row>
    <row r="36" spans="1:6" ht="16" thickBot="1" x14ac:dyDescent="0.25">
      <c r="A36" s="42" t="s">
        <v>84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</row>
    <row r="37" spans="1:6" ht="16" thickBot="1" x14ac:dyDescent="0.25">
      <c r="A37" s="42" t="s">
        <v>85</v>
      </c>
      <c r="B37" s="43">
        <v>24795277</v>
      </c>
      <c r="C37" s="43">
        <v>7733851</v>
      </c>
      <c r="D37" s="43">
        <v>76854756</v>
      </c>
      <c r="E37" s="43">
        <v>3246995</v>
      </c>
      <c r="F37" s="43">
        <v>12219045</v>
      </c>
    </row>
    <row r="38" spans="1:6" ht="16" thickBot="1" x14ac:dyDescent="0.25">
      <c r="A38" s="38" t="s">
        <v>86</v>
      </c>
      <c r="B38" s="39">
        <v>5299395</v>
      </c>
      <c r="C38" s="39">
        <v>2769295</v>
      </c>
      <c r="D38" s="39">
        <v>3866149</v>
      </c>
      <c r="E38" s="39">
        <v>6446241</v>
      </c>
      <c r="F38" s="39">
        <v>3583064</v>
      </c>
    </row>
    <row r="39" spans="1:6" ht="16" thickBot="1" x14ac:dyDescent="0.25">
      <c r="A39" s="40" t="s">
        <v>87</v>
      </c>
      <c r="B39" s="41">
        <v>0</v>
      </c>
      <c r="C39" s="41">
        <v>216054</v>
      </c>
      <c r="D39" s="41">
        <v>1837751</v>
      </c>
      <c r="E39" s="41">
        <v>4341133</v>
      </c>
      <c r="F39" s="41">
        <v>689787</v>
      </c>
    </row>
    <row r="40" spans="1:6" ht="16" thickBot="1" x14ac:dyDescent="0.25">
      <c r="A40" s="40" t="s">
        <v>88</v>
      </c>
      <c r="B40" s="41">
        <v>4163552</v>
      </c>
      <c r="C40" s="41">
        <v>0</v>
      </c>
      <c r="D40" s="41" t="s">
        <v>16</v>
      </c>
      <c r="E40" s="41" t="s">
        <v>16</v>
      </c>
      <c r="F40" s="41" t="s">
        <v>16</v>
      </c>
    </row>
    <row r="41" spans="1:6" ht="16" thickBot="1" x14ac:dyDescent="0.25">
      <c r="A41" s="40" t="s">
        <v>89</v>
      </c>
      <c r="B41" s="41">
        <v>1135843</v>
      </c>
      <c r="C41" s="41">
        <v>2553241</v>
      </c>
      <c r="D41" s="41">
        <v>2028398</v>
      </c>
      <c r="E41" s="41">
        <v>2105108</v>
      </c>
      <c r="F41" s="41">
        <v>2893277</v>
      </c>
    </row>
    <row r="42" spans="1:6" ht="16" thickBot="1" x14ac:dyDescent="0.25">
      <c r="A42" s="42" t="s">
        <v>90</v>
      </c>
      <c r="B42" s="43">
        <v>52986689</v>
      </c>
      <c r="C42" s="43">
        <v>36081477</v>
      </c>
      <c r="D42" s="43">
        <v>103332536</v>
      </c>
      <c r="E42" s="43">
        <v>33753506</v>
      </c>
      <c r="F42" s="43">
        <v>52329057</v>
      </c>
    </row>
    <row r="43" spans="1:6" ht="16" thickBot="1" x14ac:dyDescent="0.25">
      <c r="A43" s="44"/>
      <c r="B43" s="44"/>
      <c r="C43" s="44"/>
      <c r="D43" s="44"/>
      <c r="E43" s="44"/>
      <c r="F43" s="44"/>
    </row>
    <row r="44" spans="1:6" ht="16" thickBot="1" x14ac:dyDescent="0.25">
      <c r="A44" s="38" t="s">
        <v>91</v>
      </c>
      <c r="B44" s="39">
        <v>4428237</v>
      </c>
      <c r="C44" s="39">
        <v>65915531</v>
      </c>
      <c r="D44" s="39">
        <v>3257915</v>
      </c>
      <c r="E44" s="39">
        <v>114761977</v>
      </c>
      <c r="F44" s="39">
        <v>118399094</v>
      </c>
    </row>
    <row r="45" spans="1:6" ht="16" thickBot="1" x14ac:dyDescent="0.25">
      <c r="A45" s="40" t="s">
        <v>92</v>
      </c>
      <c r="B45" s="41">
        <v>4428237</v>
      </c>
      <c r="C45" s="41">
        <v>65915531</v>
      </c>
      <c r="D45" s="41">
        <v>3257915</v>
      </c>
      <c r="E45" s="41">
        <v>114761977</v>
      </c>
      <c r="F45" s="41">
        <v>118399094</v>
      </c>
    </row>
    <row r="46" spans="1:6" ht="16" thickBot="1" x14ac:dyDescent="0.25">
      <c r="A46" s="42" t="s">
        <v>93</v>
      </c>
      <c r="B46" s="43">
        <v>29223514</v>
      </c>
      <c r="C46" s="43">
        <v>73649382</v>
      </c>
      <c r="D46" s="43">
        <v>80112671</v>
      </c>
      <c r="E46" s="43">
        <v>118008972</v>
      </c>
      <c r="F46" s="43">
        <v>130618139</v>
      </c>
    </row>
    <row r="47" spans="1:6" ht="16" thickBot="1" x14ac:dyDescent="0.25">
      <c r="A47" s="38" t="s">
        <v>94</v>
      </c>
      <c r="B47" s="39">
        <v>12978375</v>
      </c>
      <c r="C47" s="39">
        <v>18136589</v>
      </c>
      <c r="D47" s="39">
        <v>25138821</v>
      </c>
      <c r="E47" s="39">
        <v>26774212</v>
      </c>
      <c r="F47" s="39">
        <v>29416081</v>
      </c>
    </row>
    <row r="48" spans="1:6" ht="16" thickBot="1" x14ac:dyDescent="0.25">
      <c r="A48" s="40" t="s">
        <v>95</v>
      </c>
      <c r="B48" s="41">
        <v>12978375</v>
      </c>
      <c r="C48" s="41">
        <v>18136589</v>
      </c>
      <c r="D48" s="41">
        <v>25138821</v>
      </c>
      <c r="E48" s="41">
        <v>26774212</v>
      </c>
      <c r="F48" s="41">
        <v>29416081</v>
      </c>
    </row>
    <row r="49" spans="1:6" ht="16" thickBot="1" x14ac:dyDescent="0.25">
      <c r="A49" s="42" t="s">
        <v>96</v>
      </c>
      <c r="B49" s="43">
        <v>8495798</v>
      </c>
      <c r="C49" s="43">
        <v>1694708</v>
      </c>
      <c r="D49" s="43">
        <v>1472335</v>
      </c>
      <c r="E49" s="43">
        <v>1479347</v>
      </c>
      <c r="F49" s="43">
        <v>1228466</v>
      </c>
    </row>
    <row r="50" spans="1:6" ht="16" thickBot="1" x14ac:dyDescent="0.25">
      <c r="A50" s="38" t="s">
        <v>97</v>
      </c>
      <c r="B50" s="39">
        <v>21561339</v>
      </c>
      <c r="C50" s="39">
        <v>26187057</v>
      </c>
      <c r="D50" s="39">
        <v>28450352</v>
      </c>
      <c r="E50" s="39">
        <v>33778728</v>
      </c>
      <c r="F50" s="39">
        <v>37290164</v>
      </c>
    </row>
    <row r="51" spans="1:6" ht="16" thickBot="1" x14ac:dyDescent="0.25">
      <c r="A51" s="40" t="s">
        <v>98</v>
      </c>
      <c r="B51" s="41">
        <v>2893041</v>
      </c>
      <c r="C51" s="41">
        <v>2687066</v>
      </c>
      <c r="D51" s="41">
        <v>2908396</v>
      </c>
      <c r="E51" s="41">
        <v>2071061</v>
      </c>
      <c r="F51" s="41">
        <v>2132882</v>
      </c>
    </row>
    <row r="52" spans="1:6" ht="16" thickBot="1" x14ac:dyDescent="0.25">
      <c r="A52" s="40" t="s">
        <v>99</v>
      </c>
      <c r="B52" s="41">
        <v>18668298</v>
      </c>
      <c r="C52" s="41">
        <v>23499991</v>
      </c>
      <c r="D52" s="41">
        <v>25541956</v>
      </c>
      <c r="E52" s="41">
        <v>31707667</v>
      </c>
      <c r="F52" s="41">
        <v>35157282</v>
      </c>
    </row>
    <row r="53" spans="1:6" ht="16" thickBot="1" x14ac:dyDescent="0.25">
      <c r="A53" s="42" t="s">
        <v>100</v>
      </c>
      <c r="B53" s="43">
        <v>100450438</v>
      </c>
      <c r="C53" s="43">
        <v>148015362</v>
      </c>
      <c r="D53" s="43">
        <v>161651959</v>
      </c>
      <c r="E53" s="43">
        <v>210547770</v>
      </c>
      <c r="F53" s="43">
        <v>238662862</v>
      </c>
    </row>
    <row r="54" spans="1:6" x14ac:dyDescent="0.2">
      <c r="A54" s="44"/>
      <c r="B54" s="44"/>
      <c r="C54" s="44"/>
      <c r="D54" s="44"/>
      <c r="E54" s="44"/>
      <c r="F54" s="44"/>
    </row>
    <row r="55" spans="1:6" ht="16" thickBot="1" x14ac:dyDescent="0.25">
      <c r="A55" s="37" t="s">
        <v>101</v>
      </c>
      <c r="B55" s="37"/>
      <c r="C55" s="37"/>
      <c r="D55" s="37"/>
      <c r="E55" s="37"/>
      <c r="F55" s="37"/>
    </row>
    <row r="56" spans="1:6" ht="16" thickBot="1" x14ac:dyDescent="0.25">
      <c r="A56" s="42" t="s">
        <v>102</v>
      </c>
      <c r="B56" s="43" t="s">
        <v>16</v>
      </c>
      <c r="C56" s="43" t="s">
        <v>16</v>
      </c>
      <c r="D56" s="43" t="s">
        <v>16</v>
      </c>
      <c r="E56" s="43" t="s">
        <v>16</v>
      </c>
      <c r="F56" s="43" t="s">
        <v>16</v>
      </c>
    </row>
    <row r="57" spans="1:6" ht="16" thickBot="1" x14ac:dyDescent="0.25">
      <c r="A57" s="42" t="s">
        <v>103</v>
      </c>
      <c r="B57" s="43" t="s">
        <v>16</v>
      </c>
      <c r="C57" s="43" t="s">
        <v>16</v>
      </c>
      <c r="D57" s="43" t="s">
        <v>16</v>
      </c>
      <c r="E57" s="43" t="s">
        <v>16</v>
      </c>
      <c r="F57" s="43" t="s">
        <v>16</v>
      </c>
    </row>
    <row r="58" spans="1:6" ht="16" thickBot="1" x14ac:dyDescent="0.25">
      <c r="A58" s="38" t="s">
        <v>104</v>
      </c>
      <c r="B58" s="39">
        <v>70546855</v>
      </c>
      <c r="C58" s="39">
        <v>94989618</v>
      </c>
      <c r="D58" s="39">
        <v>129242454</v>
      </c>
      <c r="E58" s="39">
        <v>129242454</v>
      </c>
      <c r="F58" s="39">
        <v>129242454</v>
      </c>
    </row>
    <row r="59" spans="1:6" ht="16" thickBot="1" x14ac:dyDescent="0.25">
      <c r="A59" s="40" t="s">
        <v>105</v>
      </c>
      <c r="B59" s="41">
        <v>70546855</v>
      </c>
      <c r="C59" s="41">
        <v>94989618</v>
      </c>
      <c r="D59" s="41">
        <v>129242454</v>
      </c>
      <c r="E59" s="41">
        <v>129242454</v>
      </c>
      <c r="F59" s="41">
        <v>129242454</v>
      </c>
    </row>
    <row r="60" spans="1:6" ht="16" thickBot="1" x14ac:dyDescent="0.25">
      <c r="A60" s="42" t="s">
        <v>106</v>
      </c>
      <c r="B60" s="43" t="s">
        <v>16</v>
      </c>
      <c r="C60" s="43" t="s">
        <v>16</v>
      </c>
      <c r="D60" s="43" t="s">
        <v>16</v>
      </c>
      <c r="E60" s="43" t="s">
        <v>16</v>
      </c>
      <c r="F60" s="43" t="s">
        <v>16</v>
      </c>
    </row>
    <row r="61" spans="1:6" ht="16" thickBot="1" x14ac:dyDescent="0.25">
      <c r="A61" s="42" t="s">
        <v>107</v>
      </c>
      <c r="B61" s="43">
        <v>53908950</v>
      </c>
      <c r="C61" s="43">
        <v>34100706</v>
      </c>
      <c r="D61" s="43">
        <v>2071006</v>
      </c>
      <c r="E61" s="43">
        <v>2075050</v>
      </c>
      <c r="F61" s="43">
        <v>10907198</v>
      </c>
    </row>
    <row r="62" spans="1:6" ht="16" thickBot="1" x14ac:dyDescent="0.25">
      <c r="A62" s="42" t="s">
        <v>108</v>
      </c>
      <c r="B62" s="43" t="s">
        <v>16</v>
      </c>
      <c r="C62" s="43" t="s">
        <v>16</v>
      </c>
      <c r="D62" s="43" t="s">
        <v>16</v>
      </c>
      <c r="E62" s="43" t="s">
        <v>16</v>
      </c>
      <c r="F62" s="43" t="s">
        <v>16</v>
      </c>
    </row>
    <row r="63" spans="1:6" ht="16" thickBot="1" x14ac:dyDescent="0.25">
      <c r="A63" s="42" t="s">
        <v>109</v>
      </c>
      <c r="B63" s="43" t="s">
        <v>16</v>
      </c>
      <c r="C63" s="43" t="s">
        <v>16</v>
      </c>
      <c r="D63" s="43" t="s">
        <v>16</v>
      </c>
      <c r="E63" s="43" t="s">
        <v>16</v>
      </c>
      <c r="F63" s="43" t="s">
        <v>16</v>
      </c>
    </row>
    <row r="64" spans="1:6" ht="16" thickBot="1" x14ac:dyDescent="0.25">
      <c r="A64" s="42" t="s">
        <v>110</v>
      </c>
      <c r="B64" s="43" t="s">
        <v>16</v>
      </c>
      <c r="C64" s="43" t="s">
        <v>16</v>
      </c>
      <c r="D64" s="43" t="s">
        <v>16</v>
      </c>
      <c r="E64" s="43" t="s">
        <v>16</v>
      </c>
      <c r="F64" s="43" t="s">
        <v>16</v>
      </c>
    </row>
    <row r="65" spans="1:6" ht="16" thickBot="1" x14ac:dyDescent="0.25">
      <c r="A65" s="38" t="s">
        <v>111</v>
      </c>
      <c r="B65" s="39">
        <v>22481</v>
      </c>
      <c r="C65" s="39">
        <v>1081168</v>
      </c>
      <c r="D65" s="39">
        <v>192143</v>
      </c>
      <c r="E65" s="39">
        <v>-1944131</v>
      </c>
      <c r="F65" s="39">
        <v>-4169882</v>
      </c>
    </row>
    <row r="66" spans="1:6" ht="16" thickBot="1" x14ac:dyDescent="0.25">
      <c r="A66" s="40" t="s">
        <v>112</v>
      </c>
      <c r="B66" s="41">
        <v>22481</v>
      </c>
      <c r="C66" s="41">
        <v>1081168</v>
      </c>
      <c r="D66" s="41">
        <v>192143</v>
      </c>
      <c r="E66" s="41">
        <v>-1944131</v>
      </c>
      <c r="F66" s="41">
        <v>-4169882</v>
      </c>
    </row>
    <row r="67" spans="1:6" x14ac:dyDescent="0.2">
      <c r="A67" s="42" t="s">
        <v>113</v>
      </c>
      <c r="B67" s="43">
        <v>124478286</v>
      </c>
      <c r="C67" s="43">
        <v>130171492</v>
      </c>
      <c r="D67" s="43">
        <v>131505603</v>
      </c>
      <c r="E67" s="43">
        <v>129373373</v>
      </c>
      <c r="F67" s="43">
        <v>135979770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sqref="A1:D1"/>
    </sheetView>
  </sheetViews>
  <sheetFormatPr baseColWidth="10" defaultRowHeight="15" x14ac:dyDescent="0.2"/>
  <cols>
    <col min="1" max="1" width="28.5" customWidth="1"/>
    <col min="2" max="3" width="11.5" customWidth="1"/>
    <col min="4" max="4" width="13.6640625" customWidth="1"/>
  </cols>
  <sheetData>
    <row r="1" spans="1:4" ht="16" thickBot="1" x14ac:dyDescent="0.25">
      <c r="A1" s="71" t="s">
        <v>153</v>
      </c>
      <c r="B1" s="72"/>
      <c r="C1" s="72"/>
      <c r="D1" s="72"/>
    </row>
    <row r="2" spans="1:4" ht="16" thickBot="1" x14ac:dyDescent="0.25">
      <c r="A2" s="45" t="s">
        <v>118</v>
      </c>
      <c r="B2" s="73">
        <v>4966.8999999999996</v>
      </c>
      <c r="C2" s="74"/>
      <c r="D2" s="74"/>
    </row>
    <row r="3" spans="1:4" ht="16" thickBot="1" x14ac:dyDescent="0.25">
      <c r="A3" s="45" t="s">
        <v>122</v>
      </c>
      <c r="B3" s="75">
        <v>5000</v>
      </c>
      <c r="C3" s="76"/>
      <c r="D3" s="76"/>
    </row>
    <row r="4" spans="1:4" ht="16" thickBot="1" x14ac:dyDescent="0.25">
      <c r="A4" s="45" t="s">
        <v>124</v>
      </c>
      <c r="B4" s="77">
        <v>4966.8999999999996</v>
      </c>
      <c r="C4" s="78"/>
      <c r="D4" s="78"/>
    </row>
    <row r="5" spans="1:4" x14ac:dyDescent="0.2">
      <c r="A5" s="70" t="s">
        <v>154</v>
      </c>
      <c r="B5" s="70"/>
      <c r="C5" s="70"/>
      <c r="D5" s="79"/>
    </row>
    <row r="6" spans="1:4" ht="16" thickBot="1" x14ac:dyDescent="0.25">
      <c r="A6" s="46"/>
      <c r="B6" s="46" t="s">
        <v>119</v>
      </c>
      <c r="C6" s="46" t="s">
        <v>120</v>
      </c>
      <c r="D6" s="46" t="s">
        <v>121</v>
      </c>
    </row>
    <row r="7" spans="1:4" ht="16" thickBot="1" x14ac:dyDescent="0.25">
      <c r="A7" s="45" t="s">
        <v>129</v>
      </c>
      <c r="B7" s="47" t="s">
        <v>16</v>
      </c>
      <c r="C7" s="47" t="s">
        <v>16</v>
      </c>
      <c r="D7" s="47">
        <v>3576.58</v>
      </c>
    </row>
    <row r="8" spans="1:4" ht="16" thickBot="1" x14ac:dyDescent="0.25">
      <c r="A8" s="45" t="s">
        <v>131</v>
      </c>
      <c r="B8" s="48" t="s">
        <v>16</v>
      </c>
      <c r="C8" s="48" t="s">
        <v>16</v>
      </c>
      <c r="D8" s="48">
        <v>340.7</v>
      </c>
    </row>
    <row r="9" spans="1:4" ht="16" thickBot="1" x14ac:dyDescent="0.25">
      <c r="A9" s="45" t="s">
        <v>133</v>
      </c>
      <c r="B9" s="47" t="s">
        <v>16</v>
      </c>
      <c r="C9" s="47" t="s">
        <v>16</v>
      </c>
      <c r="D9" s="47">
        <v>340.7</v>
      </c>
    </row>
    <row r="10" spans="1:4" ht="16" thickBot="1" x14ac:dyDescent="0.25">
      <c r="A10" s="45" t="s">
        <v>134</v>
      </c>
      <c r="B10" s="48" t="s">
        <v>16</v>
      </c>
      <c r="C10" s="48" t="s">
        <v>16</v>
      </c>
      <c r="D10" s="48">
        <v>342.29</v>
      </c>
    </row>
    <row r="11" spans="1:4" x14ac:dyDescent="0.2">
      <c r="A11" s="70" t="s">
        <v>117</v>
      </c>
      <c r="B11" s="70"/>
      <c r="C11" s="70"/>
      <c r="D11" s="70"/>
    </row>
    <row r="12" spans="1:4" ht="16" thickBot="1" x14ac:dyDescent="0.25">
      <c r="A12" s="46"/>
      <c r="B12" s="46" t="s">
        <v>119</v>
      </c>
      <c r="C12" s="46" t="s">
        <v>120</v>
      </c>
      <c r="D12" s="46" t="s">
        <v>121</v>
      </c>
    </row>
    <row r="13" spans="1:4" ht="16" thickBot="1" x14ac:dyDescent="0.25">
      <c r="A13" s="45" t="s">
        <v>123</v>
      </c>
      <c r="B13" s="47" t="s">
        <v>16</v>
      </c>
      <c r="C13" s="47" t="s">
        <v>16</v>
      </c>
      <c r="D13" s="47">
        <v>406208.46</v>
      </c>
    </row>
    <row r="14" spans="1:4" ht="16" thickBot="1" x14ac:dyDescent="0.25">
      <c r="A14" s="45" t="s">
        <v>125</v>
      </c>
      <c r="B14" s="48" t="s">
        <v>16</v>
      </c>
      <c r="C14" s="48" t="s">
        <v>16</v>
      </c>
      <c r="D14" s="48">
        <v>78118.45</v>
      </c>
    </row>
    <row r="15" spans="1:4" ht="16" thickBot="1" x14ac:dyDescent="0.25">
      <c r="A15" s="45" t="s">
        <v>126</v>
      </c>
      <c r="B15" s="47" t="s">
        <v>16</v>
      </c>
      <c r="C15" s="47" t="s">
        <v>16</v>
      </c>
      <c r="D15" s="47">
        <v>60087.3</v>
      </c>
    </row>
    <row r="16" spans="1:4" ht="16" thickBot="1" x14ac:dyDescent="0.25">
      <c r="A16" s="45" t="s">
        <v>127</v>
      </c>
      <c r="B16" s="48" t="s">
        <v>16</v>
      </c>
      <c r="C16" s="48" t="s">
        <v>16</v>
      </c>
      <c r="D16" s="48">
        <v>51427.66</v>
      </c>
    </row>
    <row r="17" spans="1:4" ht="16" thickBot="1" x14ac:dyDescent="0.25">
      <c r="A17" s="45" t="s">
        <v>128</v>
      </c>
      <c r="B17" s="47" t="s">
        <v>16</v>
      </c>
      <c r="C17" s="47" t="s">
        <v>16</v>
      </c>
      <c r="D17" s="47">
        <v>38738.410000000003</v>
      </c>
    </row>
    <row r="18" spans="1:4" ht="16" thickBot="1" x14ac:dyDescent="0.25">
      <c r="A18" s="45" t="s">
        <v>130</v>
      </c>
      <c r="B18" s="48" t="s">
        <v>16</v>
      </c>
      <c r="C18" s="48" t="s">
        <v>16</v>
      </c>
      <c r="D18" s="48">
        <v>38695.29</v>
      </c>
    </row>
    <row r="19" spans="1:4" ht="16" thickBot="1" x14ac:dyDescent="0.25">
      <c r="A19" s="45" t="s">
        <v>132</v>
      </c>
      <c r="B19" s="47" t="s">
        <v>16</v>
      </c>
      <c r="C19" s="47" t="s">
        <v>16</v>
      </c>
      <c r="D19" s="47">
        <v>113.57</v>
      </c>
    </row>
    <row r="20" spans="1:4" x14ac:dyDescent="0.2">
      <c r="A20" s="11"/>
      <c r="B20" s="11"/>
      <c r="C20" s="11"/>
      <c r="D20" s="11"/>
    </row>
    <row r="21" spans="1:4" ht="16" thickBot="1" x14ac:dyDescent="0.25">
      <c r="A21" s="45" t="s">
        <v>135</v>
      </c>
      <c r="B21" s="11">
        <v>677837.89</v>
      </c>
      <c r="C21" s="11"/>
      <c r="D21" s="11"/>
    </row>
  </sheetData>
  <mergeCells count="6">
    <mergeCell ref="A11:D11"/>
    <mergeCell ref="A1:D1"/>
    <mergeCell ref="B2:D2"/>
    <mergeCell ref="B3:D3"/>
    <mergeCell ref="B4:D4"/>
    <mergeCell ref="A5: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20" zoomScaleNormal="120" zoomScalePageLayoutView="120" workbookViewId="0">
      <selection activeCell="G14" sqref="G14"/>
    </sheetView>
  </sheetViews>
  <sheetFormatPr baseColWidth="10" defaultRowHeight="15" x14ac:dyDescent="0.2"/>
  <cols>
    <col min="1" max="1" width="28.5" customWidth="1"/>
    <col min="2" max="2" width="10.33203125" bestFit="1" customWidth="1"/>
    <col min="3" max="3" width="22.1640625" customWidth="1"/>
  </cols>
  <sheetData>
    <row r="1" spans="1:10" x14ac:dyDescent="0.2">
      <c r="A1" s="11"/>
      <c r="B1" s="11" t="s">
        <v>136</v>
      </c>
      <c r="C1" s="11" t="s">
        <v>137</v>
      </c>
      <c r="D1" s="11"/>
      <c r="E1" s="11"/>
      <c r="F1" s="11"/>
      <c r="G1" s="11"/>
      <c r="H1" s="11"/>
      <c r="I1" s="11"/>
      <c r="J1" s="11"/>
    </row>
    <row r="2" spans="1:10" ht="16" thickBot="1" x14ac:dyDescent="0.25">
      <c r="A2" s="46"/>
      <c r="B2" s="46" t="s">
        <v>136</v>
      </c>
      <c r="C2" s="46" t="s">
        <v>137</v>
      </c>
      <c r="D2" s="11"/>
      <c r="E2" s="11"/>
      <c r="F2" s="11"/>
      <c r="G2" s="11"/>
      <c r="H2" s="11"/>
      <c r="I2" s="11"/>
      <c r="J2" s="11"/>
    </row>
    <row r="3" spans="1:10" ht="16" thickBot="1" x14ac:dyDescent="0.25">
      <c r="A3" s="45" t="s">
        <v>123</v>
      </c>
      <c r="B3" s="47">
        <v>490269.08</v>
      </c>
      <c r="C3" s="47">
        <v>7402.17</v>
      </c>
      <c r="D3" s="11"/>
      <c r="E3" s="11"/>
      <c r="F3" s="11"/>
      <c r="G3" s="11"/>
      <c r="H3" s="11"/>
      <c r="I3" s="11"/>
      <c r="J3" s="11"/>
    </row>
    <row r="4" spans="1:10" ht="16" thickBot="1" x14ac:dyDescent="0.25">
      <c r="A4" s="45" t="s">
        <v>125</v>
      </c>
      <c r="B4" s="48">
        <v>90130.34</v>
      </c>
      <c r="C4" s="48">
        <v>2518.62</v>
      </c>
      <c r="D4" s="11"/>
      <c r="E4" s="11"/>
      <c r="F4" s="11"/>
      <c r="G4" s="11"/>
      <c r="H4" s="11"/>
      <c r="I4" s="11"/>
      <c r="J4" s="11"/>
    </row>
    <row r="5" spans="1:10" ht="16" thickBot="1" x14ac:dyDescent="0.25">
      <c r="A5" s="45" t="s">
        <v>126</v>
      </c>
      <c r="B5" s="47">
        <v>61821.32</v>
      </c>
      <c r="C5" s="47">
        <v>2231.8200000000002</v>
      </c>
      <c r="D5" s="11"/>
      <c r="E5" s="11"/>
      <c r="F5" s="11"/>
      <c r="G5" s="11"/>
      <c r="H5" s="11"/>
      <c r="I5" s="11"/>
      <c r="J5" s="11"/>
    </row>
    <row r="6" spans="1:10" ht="16" thickBot="1" x14ac:dyDescent="0.25">
      <c r="A6" s="45" t="s">
        <v>127</v>
      </c>
      <c r="B6" s="48">
        <v>38699.47</v>
      </c>
      <c r="C6" s="48">
        <v>1419.98</v>
      </c>
      <c r="D6" s="11"/>
      <c r="E6" s="11"/>
      <c r="F6" s="11"/>
      <c r="G6" s="11"/>
      <c r="H6" s="11"/>
      <c r="I6" s="11"/>
      <c r="J6" s="11"/>
    </row>
    <row r="7" spans="1:10" ht="16" thickBot="1" x14ac:dyDescent="0.25">
      <c r="A7" s="45" t="s">
        <v>128</v>
      </c>
      <c r="B7" s="47">
        <v>28129.98</v>
      </c>
      <c r="C7" s="47">
        <v>930.68</v>
      </c>
      <c r="D7" s="11"/>
      <c r="E7" s="11"/>
      <c r="F7" s="11"/>
      <c r="G7" s="11"/>
      <c r="H7" s="11"/>
      <c r="I7" s="11"/>
      <c r="J7" s="11"/>
    </row>
    <row r="8" spans="1:10" ht="16" thickBot="1" x14ac:dyDescent="0.25">
      <c r="A8" s="45" t="s">
        <v>135</v>
      </c>
      <c r="B8" s="49">
        <v>564405.36</v>
      </c>
      <c r="C8" s="49">
        <v>20284.96</v>
      </c>
      <c r="D8" s="11"/>
      <c r="E8" s="11"/>
      <c r="F8" s="11"/>
      <c r="G8" s="11"/>
      <c r="H8" s="11"/>
      <c r="I8" s="11"/>
      <c r="J8" s="11"/>
    </row>
    <row r="9" spans="1:10" x14ac:dyDescent="0.2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thickBot="1" x14ac:dyDescent="0.25">
      <c r="A11" s="46" t="s">
        <v>138</v>
      </c>
      <c r="B11" s="46" t="s">
        <v>119</v>
      </c>
      <c r="C11" s="46" t="s">
        <v>120</v>
      </c>
      <c r="D11" s="46" t="s">
        <v>121</v>
      </c>
      <c r="E11" s="11"/>
      <c r="F11" s="71" t="s">
        <v>140</v>
      </c>
      <c r="G11" s="72"/>
      <c r="H11" s="72"/>
      <c r="I11" s="72"/>
      <c r="J11" s="11"/>
    </row>
    <row r="12" spans="1:10" ht="16" thickBot="1" x14ac:dyDescent="0.25">
      <c r="A12" s="45" t="s">
        <v>129</v>
      </c>
      <c r="B12" s="47">
        <v>611.84</v>
      </c>
      <c r="C12" s="47">
        <v>2918.27</v>
      </c>
      <c r="D12" s="47">
        <v>2918.27</v>
      </c>
      <c r="E12" s="11"/>
      <c r="F12" s="45" t="s">
        <v>118</v>
      </c>
      <c r="G12" s="11">
        <v>2100</v>
      </c>
      <c r="H12" s="50"/>
      <c r="I12" s="50"/>
      <c r="J12" s="11"/>
    </row>
    <row r="13" spans="1:10" ht="31" thickBot="1" x14ac:dyDescent="0.25">
      <c r="A13" s="45" t="s">
        <v>131</v>
      </c>
      <c r="B13" s="48">
        <v>-2.91</v>
      </c>
      <c r="C13" s="48">
        <v>131.26</v>
      </c>
      <c r="D13" s="48">
        <v>131.26</v>
      </c>
      <c r="E13" s="11"/>
      <c r="F13" s="45" t="s">
        <v>122</v>
      </c>
      <c r="G13" s="51">
        <v>2540</v>
      </c>
      <c r="H13" s="52"/>
      <c r="I13" s="52"/>
      <c r="J13" s="11"/>
    </row>
    <row r="14" spans="1:10" ht="31" thickBot="1" x14ac:dyDescent="0.25">
      <c r="A14" s="45" t="s">
        <v>133</v>
      </c>
      <c r="B14" s="47">
        <v>3.89</v>
      </c>
      <c r="C14" s="47">
        <v>138.06</v>
      </c>
      <c r="D14" s="47">
        <v>138.06</v>
      </c>
      <c r="E14" s="11"/>
      <c r="F14" s="45" t="s">
        <v>124</v>
      </c>
      <c r="G14" s="53">
        <v>1589</v>
      </c>
      <c r="H14" s="54"/>
      <c r="I14" s="54"/>
      <c r="J14" s="11"/>
    </row>
    <row r="15" spans="1:10" ht="31" thickBot="1" x14ac:dyDescent="0.25">
      <c r="A15" s="46" t="s">
        <v>139</v>
      </c>
      <c r="B15" s="46" t="s">
        <v>119</v>
      </c>
      <c r="C15" s="46" t="s">
        <v>120</v>
      </c>
      <c r="D15" s="46" t="s">
        <v>121</v>
      </c>
      <c r="E15" s="11"/>
      <c r="F15" s="71" t="s">
        <v>141</v>
      </c>
      <c r="G15" s="72"/>
      <c r="H15" s="72"/>
      <c r="I15" s="72"/>
      <c r="J15" s="11"/>
    </row>
    <row r="16" spans="1:10" ht="15.75" customHeight="1" thickBot="1" x14ac:dyDescent="0.25">
      <c r="A16" s="45" t="s">
        <v>129</v>
      </c>
      <c r="B16" s="47">
        <v>3.19</v>
      </c>
      <c r="C16" s="47">
        <v>9.32</v>
      </c>
      <c r="D16" s="47">
        <v>9.32</v>
      </c>
      <c r="E16" s="11"/>
      <c r="F16" s="45" t="s">
        <v>118</v>
      </c>
      <c r="G16" s="73">
        <v>46.3</v>
      </c>
      <c r="H16" s="74"/>
      <c r="I16" s="74"/>
      <c r="J16" s="11"/>
    </row>
    <row r="17" spans="1:10" ht="31" thickBot="1" x14ac:dyDescent="0.25">
      <c r="A17" s="45" t="s">
        <v>131</v>
      </c>
      <c r="B17" s="48">
        <v>0.57999999999999996</v>
      </c>
      <c r="C17" s="48">
        <v>1.17</v>
      </c>
      <c r="D17" s="48">
        <v>1.17</v>
      </c>
      <c r="E17" s="11"/>
      <c r="F17" s="45" t="s">
        <v>122</v>
      </c>
      <c r="G17" s="75">
        <v>52</v>
      </c>
      <c r="H17" s="76"/>
      <c r="I17" s="76"/>
      <c r="J17" s="11"/>
    </row>
    <row r="18" spans="1:10" ht="31" thickBot="1" x14ac:dyDescent="0.25">
      <c r="A18" s="45" t="s">
        <v>133</v>
      </c>
      <c r="B18" s="47">
        <v>0.57999999999999996</v>
      </c>
      <c r="C18" s="47">
        <v>1.17</v>
      </c>
      <c r="D18" s="47">
        <v>1.17</v>
      </c>
      <c r="E18" s="11"/>
      <c r="F18" s="45" t="s">
        <v>124</v>
      </c>
      <c r="G18" s="77" t="s">
        <v>147</v>
      </c>
      <c r="H18" s="78"/>
      <c r="I18" s="78"/>
      <c r="J18" s="11"/>
    </row>
  </sheetData>
  <mergeCells count="5">
    <mergeCell ref="F11:I11"/>
    <mergeCell ref="F15:I15"/>
    <mergeCell ref="G16:I16"/>
    <mergeCell ref="G17:I17"/>
    <mergeCell ref="G18:I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122" zoomScaleNormal="120" zoomScalePageLayoutView="120" workbookViewId="0">
      <selection activeCell="A13" sqref="A13"/>
    </sheetView>
  </sheetViews>
  <sheetFormatPr baseColWidth="10" defaultRowHeight="15" x14ac:dyDescent="0.2"/>
  <cols>
    <col min="1" max="1" width="33.83203125" customWidth="1"/>
    <col min="2" max="2" width="15.33203125" bestFit="1" customWidth="1"/>
    <col min="3" max="5" width="12.83203125" bestFit="1" customWidth="1"/>
    <col min="6" max="6" width="13" bestFit="1" customWidth="1"/>
    <col min="8" max="8" width="13" bestFit="1" customWidth="1"/>
  </cols>
  <sheetData>
    <row r="1" spans="1:8" ht="16" thickBot="1" x14ac:dyDescent="0.25">
      <c r="A1" s="66" t="s">
        <v>155</v>
      </c>
      <c r="B1" s="66">
        <v>2017</v>
      </c>
      <c r="C1" s="66">
        <v>2018</v>
      </c>
      <c r="D1" s="66">
        <v>2019</v>
      </c>
      <c r="E1" s="66">
        <v>2020</v>
      </c>
      <c r="F1" s="66">
        <v>2021</v>
      </c>
    </row>
    <row r="2" spans="1:8" ht="16" thickBot="1" x14ac:dyDescent="0.25">
      <c r="A2" s="21" t="s">
        <v>19</v>
      </c>
      <c r="B2" s="55">
        <v>0.03</v>
      </c>
      <c r="C2" s="55">
        <v>0.02</v>
      </c>
      <c r="D2" s="55">
        <v>0.05</v>
      </c>
      <c r="E2" s="55">
        <v>0.03</v>
      </c>
      <c r="F2" s="55">
        <v>0.04</v>
      </c>
    </row>
    <row r="3" spans="1:8" ht="16" thickBot="1" x14ac:dyDescent="0.25">
      <c r="A3" s="25" t="s">
        <v>22</v>
      </c>
      <c r="B3" s="55">
        <v>0.04</v>
      </c>
      <c r="C3" s="55">
        <v>0.03</v>
      </c>
      <c r="D3" s="55">
        <v>0.02</v>
      </c>
      <c r="E3" s="55">
        <v>0.03</v>
      </c>
      <c r="F3" s="55">
        <v>0.03</v>
      </c>
    </row>
    <row r="4" spans="1:8" x14ac:dyDescent="0.2">
      <c r="A4" s="25" t="s">
        <v>23</v>
      </c>
      <c r="B4" s="55">
        <v>0.04</v>
      </c>
      <c r="C4" s="55">
        <v>0.03</v>
      </c>
      <c r="D4" s="55">
        <v>0.02</v>
      </c>
      <c r="E4" s="55">
        <v>0.03</v>
      </c>
      <c r="F4" s="55">
        <v>0.03</v>
      </c>
    </row>
    <row r="5" spans="1:8" x14ac:dyDescent="0.2">
      <c r="A5" s="11" t="s">
        <v>178</v>
      </c>
      <c r="B5" s="11"/>
      <c r="C5" s="11"/>
      <c r="D5" s="11"/>
      <c r="E5" s="11"/>
      <c r="F5" s="11"/>
    </row>
    <row r="6" spans="1:8" x14ac:dyDescent="0.2">
      <c r="B6" s="11"/>
      <c r="C6" s="11"/>
      <c r="D6" s="11"/>
      <c r="E6" s="11"/>
      <c r="F6" s="11"/>
    </row>
    <row r="7" spans="1:8" x14ac:dyDescent="0.2">
      <c r="A7" s="11"/>
      <c r="B7" s="11"/>
      <c r="C7" s="11"/>
      <c r="D7" s="11"/>
      <c r="E7" s="11"/>
      <c r="F7" s="11"/>
    </row>
    <row r="8" spans="1:8" x14ac:dyDescent="0.2">
      <c r="A8" s="11"/>
      <c r="B8" s="66">
        <v>2017</v>
      </c>
      <c r="C8" s="66">
        <v>2018</v>
      </c>
      <c r="D8" s="66">
        <v>2019</v>
      </c>
      <c r="E8" s="66">
        <v>2020</v>
      </c>
      <c r="F8" s="66">
        <v>2021</v>
      </c>
    </row>
    <row r="9" spans="1:8" x14ac:dyDescent="0.2">
      <c r="A9" s="11" t="s">
        <v>180</v>
      </c>
      <c r="B9" s="49">
        <f>SUM('TN1_Flujo de caja'!$F$6:$F$10)*(1+B2)</f>
        <v>70929836.570000008</v>
      </c>
      <c r="C9" s="49">
        <f>SUM('TN1_Flujo de caja'!$F$6:$F$10)*(1+C2)</f>
        <v>70241197.379999995</v>
      </c>
      <c r="D9" s="49">
        <f>SUM('TN1_Flujo de caja'!$F$6:$F$10)*(1+D2)</f>
        <v>72307114.950000003</v>
      </c>
      <c r="E9" s="49">
        <f>SUM('TN1_Flujo de caja'!$F$6:$F$10)*(1+E2)</f>
        <v>70929836.570000008</v>
      </c>
      <c r="F9" s="49">
        <f>SUM('TN1_Flujo de caja'!$F$6:$F$10)*(1+F2)</f>
        <v>71618475.760000005</v>
      </c>
    </row>
    <row r="10" spans="1:8" x14ac:dyDescent="0.2">
      <c r="A10" s="11" t="s">
        <v>53</v>
      </c>
      <c r="B10" s="49">
        <f>SUM('TN1_Flujo de caja'!$F$16:$F$17)*(1+B3)</f>
        <v>-29305804.32</v>
      </c>
      <c r="C10" s="49">
        <f>SUM('TN1_Flujo de caja'!$F$16:$F$17)*(1+C3)</f>
        <v>-29024017.740000002</v>
      </c>
      <c r="D10" s="49">
        <f>SUM('TN1_Flujo de caja'!$F$16:$F$17)*(1+D3)</f>
        <v>-28742231.16</v>
      </c>
      <c r="E10" s="49">
        <f>SUM('TN1_Flujo de caja'!$F$16:$F$17)*(1+E3)</f>
        <v>-29024017.740000002</v>
      </c>
      <c r="F10" s="49">
        <f>SUM('TN1_Flujo de caja'!$F$16:$F$17)*(1+F3)</f>
        <v>-29024017.740000002</v>
      </c>
    </row>
    <row r="11" spans="1:8" x14ac:dyDescent="0.2">
      <c r="A11" s="11"/>
      <c r="B11" s="11"/>
      <c r="C11" s="11"/>
      <c r="D11" s="11"/>
      <c r="E11" s="11"/>
      <c r="F11" s="11"/>
    </row>
    <row r="12" spans="1:8" x14ac:dyDescent="0.2">
      <c r="A12" s="11" t="s">
        <v>181</v>
      </c>
      <c r="B12" s="56">
        <f>SUM(B9:B10)</f>
        <v>41624032.250000007</v>
      </c>
      <c r="C12" s="56">
        <f t="shared" ref="C12:F12" si="0">SUM(C9:C10)</f>
        <v>41217179.639999993</v>
      </c>
      <c r="D12" s="56">
        <f t="shared" si="0"/>
        <v>43564883.790000007</v>
      </c>
      <c r="E12" s="56">
        <f t="shared" si="0"/>
        <v>41905818.830000006</v>
      </c>
      <c r="F12" s="56">
        <f t="shared" si="0"/>
        <v>42594458.020000003</v>
      </c>
    </row>
    <row r="13" spans="1:8" x14ac:dyDescent="0.2">
      <c r="A13" s="11"/>
      <c r="B13" s="11"/>
      <c r="C13" s="11"/>
      <c r="D13" s="11"/>
      <c r="E13" s="11"/>
      <c r="F13" s="11"/>
    </row>
    <row r="14" spans="1:8" x14ac:dyDescent="0.2">
      <c r="A14" s="11" t="s">
        <v>170</v>
      </c>
      <c r="B14" s="55">
        <v>0.02</v>
      </c>
      <c r="C14" s="11"/>
      <c r="D14" s="11"/>
      <c r="E14" s="11"/>
      <c r="F14" s="11"/>
    </row>
    <row r="15" spans="1:8" x14ac:dyDescent="0.2">
      <c r="A15" s="11" t="s">
        <v>156</v>
      </c>
      <c r="B15" s="55">
        <f>[1]Calculos!$B$25</f>
        <v>5.9745156445527435E-2</v>
      </c>
      <c r="C15" s="11"/>
      <c r="D15" s="11"/>
      <c r="E15" s="11"/>
      <c r="F15" s="11"/>
      <c r="H15" s="4"/>
    </row>
    <row r="16" spans="1:8" x14ac:dyDescent="0.2">
      <c r="A16" s="11" t="s">
        <v>157</v>
      </c>
      <c r="B16" s="49">
        <f>B12/(1+$B$15)</f>
        <v>39277397.963875055</v>
      </c>
      <c r="C16" s="49">
        <f>C12/(1+$B$15)^2</f>
        <v>36700788.118695587</v>
      </c>
      <c r="D16" s="49">
        <f>D12/(1+$B$15)^3</f>
        <v>36604311.201378591</v>
      </c>
      <c r="E16" s="49">
        <f>E12/(1+$B$15)^4</f>
        <v>33225273.902252696</v>
      </c>
      <c r="F16" s="49"/>
    </row>
    <row r="17" spans="1:6" x14ac:dyDescent="0.2">
      <c r="A17" s="11" t="s">
        <v>54</v>
      </c>
      <c r="B17" s="49">
        <f>F12/(B15-B14)</f>
        <v>1071689278.1231762</v>
      </c>
      <c r="C17" s="11"/>
      <c r="D17" s="11"/>
      <c r="E17" s="11"/>
      <c r="F17" s="11"/>
    </row>
    <row r="18" spans="1:6" x14ac:dyDescent="0.2">
      <c r="A18" s="11" t="s">
        <v>158</v>
      </c>
      <c r="B18" s="49">
        <f>(F12+B17)/(1+B15)^5</f>
        <v>833659282.32938743</v>
      </c>
      <c r="C18" s="11"/>
      <c r="D18" s="11"/>
      <c r="E18" s="11"/>
      <c r="F18" s="11"/>
    </row>
    <row r="19" spans="1:6" x14ac:dyDescent="0.2">
      <c r="A19" s="11"/>
      <c r="B19" s="11"/>
      <c r="C19" s="11"/>
      <c r="D19" s="11"/>
      <c r="E19" s="11"/>
      <c r="F19" s="11"/>
    </row>
    <row r="20" spans="1:6" x14ac:dyDescent="0.2">
      <c r="A20" s="66" t="s">
        <v>159</v>
      </c>
      <c r="B20" s="68">
        <f>SUM(B16:E16,B18)</f>
        <v>979467053.51558936</v>
      </c>
      <c r="C20" s="11"/>
      <c r="D20" s="11"/>
      <c r="E20" s="11"/>
      <c r="F20" s="11"/>
    </row>
    <row r="21" spans="1:6" x14ac:dyDescent="0.2">
      <c r="A21" s="66"/>
      <c r="B21" s="66"/>
      <c r="C21" s="11"/>
      <c r="D21" s="11"/>
      <c r="E21" s="11"/>
      <c r="F21" s="11"/>
    </row>
    <row r="22" spans="1:6" x14ac:dyDescent="0.2">
      <c r="A22" s="66" t="s">
        <v>160</v>
      </c>
      <c r="B22" s="69">
        <v>119687546</v>
      </c>
      <c r="C22" s="11"/>
      <c r="D22" s="11"/>
      <c r="E22" s="11"/>
      <c r="F22" s="11"/>
    </row>
    <row r="23" spans="1:6" x14ac:dyDescent="0.2">
      <c r="A23" s="66"/>
      <c r="B23" s="66"/>
      <c r="C23" s="11"/>
      <c r="D23" s="11"/>
      <c r="E23" s="11"/>
      <c r="F23" s="11"/>
    </row>
    <row r="24" spans="1:6" x14ac:dyDescent="0.2">
      <c r="A24" s="66" t="s">
        <v>114</v>
      </c>
      <c r="B24" s="68">
        <f>B20-B22</f>
        <v>859779507.51558936</v>
      </c>
      <c r="C24" s="11"/>
      <c r="D24" s="11"/>
      <c r="E24" s="11"/>
      <c r="F24" s="11"/>
    </row>
    <row r="25" spans="1:6" x14ac:dyDescent="0.2">
      <c r="A25" s="11"/>
      <c r="B25" s="11"/>
      <c r="C25" s="11"/>
      <c r="D25" s="11"/>
      <c r="E25" s="11"/>
      <c r="F25" s="11"/>
    </row>
    <row r="26" spans="1:6" x14ac:dyDescent="0.2">
      <c r="A26" s="11" t="s">
        <v>169</v>
      </c>
      <c r="B26" s="11">
        <v>230000</v>
      </c>
      <c r="C26" s="11"/>
      <c r="D26" s="11"/>
      <c r="E26" s="11"/>
      <c r="F26" s="11"/>
    </row>
    <row r="27" spans="1:6" x14ac:dyDescent="0.2">
      <c r="A27" s="11"/>
      <c r="B27" s="11"/>
      <c r="C27" s="11"/>
      <c r="D27" s="11"/>
      <c r="E27" s="11"/>
      <c r="F27" s="11"/>
    </row>
    <row r="28" spans="1:6" x14ac:dyDescent="0.2">
      <c r="A28" s="66" t="s">
        <v>179</v>
      </c>
      <c r="B28" s="68">
        <f>B24/B26</f>
        <v>3738.1717718069103</v>
      </c>
      <c r="C28" s="11"/>
      <c r="D28" s="11"/>
      <c r="E28" s="11"/>
      <c r="F28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zoomScale="120" zoomScaleNormal="120" zoomScalePageLayoutView="120" workbookViewId="0">
      <selection activeCell="A41" sqref="A41"/>
    </sheetView>
  </sheetViews>
  <sheetFormatPr baseColWidth="10" defaultRowHeight="15" x14ac:dyDescent="0.2"/>
  <cols>
    <col min="1" max="1" width="19" customWidth="1"/>
    <col min="2" max="2" width="13.5" bestFit="1" customWidth="1"/>
    <col min="3" max="3" width="14.33203125" bestFit="1" customWidth="1"/>
    <col min="4" max="4" width="12.83203125" customWidth="1"/>
    <col min="5" max="5" width="15.1640625" customWidth="1"/>
  </cols>
  <sheetData>
    <row r="1" spans="1:7" x14ac:dyDescent="0.2">
      <c r="A1" s="66" t="s">
        <v>174</v>
      </c>
      <c r="B1" s="57"/>
      <c r="C1" s="57"/>
      <c r="D1" s="57"/>
      <c r="E1" s="57"/>
    </row>
    <row r="2" spans="1:7" x14ac:dyDescent="0.2">
      <c r="A2" s="11"/>
      <c r="B2" s="57"/>
      <c r="C2" s="57"/>
      <c r="D2" s="57"/>
      <c r="E2" s="57"/>
    </row>
    <row r="3" spans="1:7" x14ac:dyDescent="0.2">
      <c r="A3" s="11" t="s">
        <v>142</v>
      </c>
      <c r="B3" s="58">
        <f>TN3_Datos!B2:D2/TN3_Datos!D8</f>
        <v>14.57851482242442</v>
      </c>
      <c r="C3" s="57"/>
      <c r="D3" s="57"/>
      <c r="E3" s="57"/>
    </row>
    <row r="4" spans="1:7" x14ac:dyDescent="0.2">
      <c r="A4" s="11"/>
      <c r="B4" s="57"/>
      <c r="C4" s="57"/>
      <c r="D4" s="57"/>
      <c r="E4" s="57"/>
    </row>
    <row r="5" spans="1:7" x14ac:dyDescent="0.2">
      <c r="A5" s="11" t="s">
        <v>143</v>
      </c>
      <c r="B5" s="59">
        <f>TN3_Datos!B21/TN3_Datos!D14</f>
        <v>8.6770524760795951</v>
      </c>
      <c r="C5" s="57"/>
      <c r="D5" s="57"/>
      <c r="E5" s="57"/>
    </row>
    <row r="6" spans="1:7" x14ac:dyDescent="0.2">
      <c r="A6" s="11"/>
      <c r="B6" s="59"/>
      <c r="C6" s="57"/>
      <c r="D6" s="57"/>
      <c r="E6" s="57"/>
    </row>
    <row r="7" spans="1:7" x14ac:dyDescent="0.2">
      <c r="A7" s="11" t="s">
        <v>144</v>
      </c>
      <c r="B7" s="59">
        <f>TN3_Datos!B21/TN3_Datos!D15</f>
        <v>11.280884479748632</v>
      </c>
      <c r="C7" s="57"/>
      <c r="D7" s="57"/>
      <c r="E7" s="57"/>
    </row>
    <row r="8" spans="1:7" x14ac:dyDescent="0.2">
      <c r="A8" s="11"/>
      <c r="B8" s="59"/>
      <c r="C8" s="57"/>
      <c r="D8" s="57"/>
      <c r="E8" s="57"/>
    </row>
    <row r="9" spans="1:7" x14ac:dyDescent="0.2">
      <c r="A9" s="11" t="s">
        <v>145</v>
      </c>
      <c r="B9" s="59">
        <f>TN3_Datos!B21/TN3_Datos!D13</f>
        <v>1.6686946648033869</v>
      </c>
      <c r="C9" s="57"/>
      <c r="D9" s="57"/>
      <c r="E9" s="57"/>
    </row>
    <row r="10" spans="1:7" x14ac:dyDescent="0.2">
      <c r="A10" s="11"/>
      <c r="B10" s="57"/>
      <c r="C10" s="57"/>
      <c r="D10" s="57"/>
      <c r="E10" s="57"/>
    </row>
    <row r="11" spans="1:7" x14ac:dyDescent="0.2">
      <c r="A11" s="66" t="s">
        <v>182</v>
      </c>
      <c r="B11" s="57"/>
      <c r="C11" s="57"/>
      <c r="D11" s="57"/>
      <c r="E11" s="57"/>
    </row>
    <row r="12" spans="1:7" x14ac:dyDescent="0.2">
      <c r="A12" s="11"/>
      <c r="B12" s="57"/>
      <c r="C12" s="57" t="s">
        <v>171</v>
      </c>
      <c r="D12" s="57"/>
      <c r="E12" s="57"/>
    </row>
    <row r="13" spans="1:7" x14ac:dyDescent="0.2">
      <c r="A13" s="11"/>
      <c r="B13" s="57" t="s">
        <v>146</v>
      </c>
      <c r="C13" s="57" t="s">
        <v>172</v>
      </c>
      <c r="D13" s="57"/>
      <c r="E13" s="57"/>
    </row>
    <row r="14" spans="1:7" x14ac:dyDescent="0.2">
      <c r="A14" s="11" t="s">
        <v>142</v>
      </c>
      <c r="B14" s="60">
        <f>TN3_Comparables!G12/TN3_Comparables!D13</f>
        <v>15.998781045253697</v>
      </c>
      <c r="C14" s="60">
        <f>TN3_Comparables!J16/TN3_Comparables!D17</f>
        <v>0</v>
      </c>
      <c r="D14" s="57"/>
      <c r="E14" s="57"/>
      <c r="F14" s="5"/>
      <c r="G14" s="5"/>
    </row>
    <row r="15" spans="1:7" x14ac:dyDescent="0.2">
      <c r="A15" s="11"/>
      <c r="B15" s="57"/>
      <c r="C15" s="57"/>
      <c r="D15" s="57"/>
      <c r="E15" s="57"/>
    </row>
    <row r="16" spans="1:7" x14ac:dyDescent="0.2">
      <c r="A16" s="11" t="s">
        <v>143</v>
      </c>
      <c r="B16" s="61">
        <f>TN3_Comparables!B8/TN3_Comparables!B4</f>
        <v>6.2621017517519633</v>
      </c>
      <c r="C16" s="61">
        <f>TN3_Comparables!C8/TN3_Comparables!C4</f>
        <v>8.0539978242053181</v>
      </c>
      <c r="D16" s="57"/>
      <c r="E16" s="57"/>
      <c r="F16" s="6"/>
      <c r="G16" s="6"/>
    </row>
    <row r="17" spans="1:7" x14ac:dyDescent="0.2">
      <c r="A17" s="11"/>
      <c r="B17" s="61"/>
      <c r="C17" s="61"/>
      <c r="D17" s="57"/>
      <c r="E17" s="57"/>
      <c r="F17" s="6"/>
      <c r="G17" s="6"/>
    </row>
    <row r="18" spans="1:7" x14ac:dyDescent="0.2">
      <c r="A18" s="11" t="s">
        <v>144</v>
      </c>
      <c r="B18" s="61">
        <f>TN3_Comparables!B8/TN3_Comparables!B5</f>
        <v>9.1296232432435929</v>
      </c>
      <c r="C18" s="61">
        <f>TN3_Comparables!C8/TN3_Comparables!C5</f>
        <v>9.0889767095912735</v>
      </c>
      <c r="D18" s="57"/>
      <c r="E18" s="57"/>
      <c r="F18" s="6"/>
      <c r="G18" s="6"/>
    </row>
    <row r="19" spans="1:7" x14ac:dyDescent="0.2">
      <c r="A19" s="11"/>
      <c r="B19" s="61"/>
      <c r="C19" s="61"/>
      <c r="D19" s="57"/>
      <c r="E19" s="57"/>
      <c r="F19" s="6"/>
      <c r="G19" s="6"/>
    </row>
    <row r="20" spans="1:7" x14ac:dyDescent="0.2">
      <c r="A20" s="11" t="s">
        <v>145</v>
      </c>
      <c r="B20" s="61">
        <f>TN3_Comparables!B8/TN3_Comparables!B3</f>
        <v>1.1512154917050856</v>
      </c>
      <c r="C20" s="61">
        <f>TN3_Comparables!C8/TN3_Comparables!C3</f>
        <v>2.7404072049142343</v>
      </c>
      <c r="D20" s="57"/>
      <c r="E20" s="57"/>
      <c r="F20" s="6"/>
      <c r="G20" s="6"/>
    </row>
    <row r="21" spans="1:7" x14ac:dyDescent="0.2">
      <c r="A21" s="11"/>
      <c r="B21" s="57"/>
      <c r="C21" s="57"/>
      <c r="D21" s="57"/>
      <c r="E21" s="57"/>
    </row>
    <row r="22" spans="1:7" x14ac:dyDescent="0.2">
      <c r="A22" s="66" t="s">
        <v>183</v>
      </c>
      <c r="B22" s="57"/>
      <c r="C22" s="57"/>
      <c r="D22" s="57"/>
      <c r="E22" s="57"/>
    </row>
    <row r="23" spans="1:7" x14ac:dyDescent="0.2">
      <c r="A23" s="11"/>
      <c r="B23" s="57" t="s">
        <v>173</v>
      </c>
      <c r="C23" s="57"/>
      <c r="D23" s="57"/>
      <c r="E23" s="57"/>
    </row>
    <row r="24" spans="1:7" x14ac:dyDescent="0.2">
      <c r="A24" s="11" t="s">
        <v>142</v>
      </c>
      <c r="B24" s="57">
        <f>SUM(B14:C14)/2</f>
        <v>7.9993905226268485</v>
      </c>
      <c r="C24" s="57"/>
      <c r="D24" s="57"/>
      <c r="E24" s="57"/>
    </row>
    <row r="25" spans="1:7" x14ac:dyDescent="0.2">
      <c r="A25" s="11"/>
      <c r="B25" s="57"/>
      <c r="C25" s="57"/>
      <c r="D25" s="57"/>
      <c r="E25" s="57"/>
    </row>
    <row r="26" spans="1:7" x14ac:dyDescent="0.2">
      <c r="A26" s="11" t="s">
        <v>143</v>
      </c>
      <c r="B26" s="57">
        <f>SUM(B16:C16)/2</f>
        <v>7.1580497879786407</v>
      </c>
      <c r="C26" s="57"/>
      <c r="D26" s="57"/>
      <c r="E26" s="57"/>
    </row>
    <row r="27" spans="1:7" x14ac:dyDescent="0.2">
      <c r="A27" s="11"/>
      <c r="B27" s="57"/>
      <c r="C27" s="57"/>
      <c r="D27" s="57"/>
      <c r="E27" s="57"/>
    </row>
    <row r="28" spans="1:7" x14ac:dyDescent="0.2">
      <c r="A28" s="11" t="s">
        <v>144</v>
      </c>
      <c r="B28" s="57">
        <f>SUM(B18:C18)/2</f>
        <v>9.1092999764174323</v>
      </c>
      <c r="C28" s="57"/>
      <c r="D28" s="57"/>
      <c r="E28" s="57"/>
    </row>
    <row r="29" spans="1:7" x14ac:dyDescent="0.2">
      <c r="A29" s="11"/>
      <c r="B29" s="57"/>
      <c r="C29" s="57"/>
      <c r="D29" s="57"/>
      <c r="E29" s="57"/>
    </row>
    <row r="30" spans="1:7" x14ac:dyDescent="0.2">
      <c r="A30" s="11" t="s">
        <v>145</v>
      </c>
      <c r="B30" s="57">
        <f>SUM(B20:C20)/2</f>
        <v>1.94581134830966</v>
      </c>
      <c r="C30" s="57"/>
      <c r="D30" s="57"/>
      <c r="E30" s="57"/>
    </row>
    <row r="31" spans="1:7" x14ac:dyDescent="0.2">
      <c r="A31" s="11"/>
      <c r="B31" s="57"/>
      <c r="C31" s="57"/>
      <c r="D31" s="57"/>
      <c r="E31" s="57"/>
    </row>
    <row r="32" spans="1:7" x14ac:dyDescent="0.2">
      <c r="A32" s="11"/>
      <c r="B32" s="57"/>
      <c r="C32" s="57"/>
      <c r="D32" s="57"/>
      <c r="E32" s="57"/>
    </row>
    <row r="33" spans="1:5" x14ac:dyDescent="0.2">
      <c r="A33" s="11"/>
      <c r="B33" s="57" t="s">
        <v>142</v>
      </c>
      <c r="C33" s="57" t="s">
        <v>145</v>
      </c>
      <c r="D33" s="57" t="s">
        <v>144</v>
      </c>
      <c r="E33" s="57" t="s">
        <v>143</v>
      </c>
    </row>
    <row r="34" spans="1:5" x14ac:dyDescent="0.2">
      <c r="A34" s="11" t="s">
        <v>173</v>
      </c>
      <c r="B34" s="62">
        <v>27.785715308951637</v>
      </c>
      <c r="C34" s="62">
        <v>1.94581134830966</v>
      </c>
      <c r="D34" s="62">
        <v>9.1092999764174323</v>
      </c>
      <c r="E34" s="62">
        <v>7.1580497879786407</v>
      </c>
    </row>
    <row r="35" spans="1:5" x14ac:dyDescent="0.2">
      <c r="A35" s="11" t="s">
        <v>148</v>
      </c>
      <c r="B35" s="62">
        <f>TN3_Datos!D8</f>
        <v>340.7</v>
      </c>
      <c r="C35" s="62">
        <f>TN3_Datos!D13</f>
        <v>406208.46</v>
      </c>
      <c r="D35" s="62">
        <f>TN3_Datos!D15</f>
        <v>60087.3</v>
      </c>
      <c r="E35" s="62">
        <f>TN3_Datos!D14</f>
        <v>78118.45</v>
      </c>
    </row>
    <row r="36" spans="1:5" x14ac:dyDescent="0.2">
      <c r="A36" s="11" t="s">
        <v>175</v>
      </c>
      <c r="B36" s="62">
        <f>B35*B34</f>
        <v>9466.593205759822</v>
      </c>
      <c r="C36" s="62">
        <f t="shared" ref="C36:E36" si="0">C35*C34</f>
        <v>790405.03124739067</v>
      </c>
      <c r="D36" s="62">
        <f t="shared" si="0"/>
        <v>547353.24047298718</v>
      </c>
      <c r="E36" s="62">
        <f t="shared" si="0"/>
        <v>559175.75445971999</v>
      </c>
    </row>
    <row r="37" spans="1:5" x14ac:dyDescent="0.2">
      <c r="A37" s="11" t="s">
        <v>149</v>
      </c>
      <c r="B37" s="57"/>
      <c r="C37" s="63">
        <f>123043141/1000</f>
        <v>123043.141</v>
      </c>
      <c r="D37" s="63">
        <f t="shared" ref="D37:E37" si="1">123043141/1000</f>
        <v>123043.141</v>
      </c>
      <c r="E37" s="63">
        <f t="shared" si="1"/>
        <v>123043.141</v>
      </c>
    </row>
    <row r="38" spans="1:5" x14ac:dyDescent="0.2">
      <c r="A38" s="11" t="s">
        <v>150</v>
      </c>
      <c r="C38" s="64">
        <f t="shared" ref="C38:E38" si="2">C36-C37</f>
        <v>667361.89024739061</v>
      </c>
      <c r="D38" s="64">
        <f t="shared" si="2"/>
        <v>424310.09947298717</v>
      </c>
      <c r="E38" s="64">
        <f t="shared" si="2"/>
        <v>436132.61345971999</v>
      </c>
    </row>
    <row r="39" spans="1:5" x14ac:dyDescent="0.2">
      <c r="A39" s="11" t="s">
        <v>151</v>
      </c>
      <c r="B39" s="57"/>
      <c r="C39" s="57">
        <v>230</v>
      </c>
      <c r="D39" s="57">
        <v>230</v>
      </c>
      <c r="E39" s="57">
        <v>230</v>
      </c>
    </row>
    <row r="40" spans="1:5" x14ac:dyDescent="0.2">
      <c r="A40" s="11" t="s">
        <v>184</v>
      </c>
      <c r="B40" s="80">
        <f>B36-B37</f>
        <v>9466.593205759822</v>
      </c>
      <c r="C40" s="64">
        <f t="shared" ref="C40:E40" si="3">C38/C39</f>
        <v>2901.5734358582199</v>
      </c>
      <c r="D40" s="64">
        <f t="shared" si="3"/>
        <v>1844.8265194477704</v>
      </c>
      <c r="E40" s="64">
        <f t="shared" si="3"/>
        <v>1896.2287541726955</v>
      </c>
    </row>
    <row r="41" spans="1:5" x14ac:dyDescent="0.2">
      <c r="A41" s="11"/>
      <c r="B41" s="57"/>
      <c r="C41" s="57"/>
      <c r="D41" s="57"/>
      <c r="E41" s="57"/>
    </row>
    <row r="42" spans="1:5" x14ac:dyDescent="0.2">
      <c r="A42" s="66" t="s">
        <v>152</v>
      </c>
      <c r="B42" s="67" t="s">
        <v>176</v>
      </c>
      <c r="C42" s="57"/>
      <c r="D42" s="57"/>
      <c r="E42" s="57"/>
    </row>
    <row r="43" spans="1:5" x14ac:dyDescent="0.2">
      <c r="A43" s="11"/>
      <c r="B43" s="11"/>
      <c r="C43" s="11"/>
      <c r="D43" s="11"/>
      <c r="E43" s="11"/>
    </row>
    <row r="44" spans="1:5" x14ac:dyDescent="0.2">
      <c r="A44" s="66" t="s">
        <v>177</v>
      </c>
      <c r="B44" s="11"/>
      <c r="C44" s="11"/>
      <c r="D44" s="11"/>
      <c r="E44" s="11"/>
    </row>
    <row r="45" spans="1:5" x14ac:dyDescent="0.2">
      <c r="A45" s="65"/>
      <c r="B45" s="65"/>
      <c r="C45" s="65"/>
      <c r="D45" s="65"/>
      <c r="E45" s="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</vt:lpstr>
      <vt:lpstr>TN1_Flujo de caja</vt:lpstr>
      <vt:lpstr>TN2_Balance</vt:lpstr>
      <vt:lpstr>TN3_Datos</vt:lpstr>
      <vt:lpstr>TN3_Comparables</vt:lpstr>
      <vt:lpstr>TN4_Resultados FCF</vt:lpstr>
      <vt:lpstr>TN5_Resultados Multiplos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Cristian Pinto</cp:lastModifiedBy>
  <dcterms:created xsi:type="dcterms:W3CDTF">2017-04-30T18:46:48Z</dcterms:created>
  <dcterms:modified xsi:type="dcterms:W3CDTF">2017-11-29T02:40:05Z</dcterms:modified>
</cp:coreProperties>
</file>